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35" windowHeight="15765" activeTab="2"/>
  </bookViews>
  <sheets>
    <sheet name="2.422 GHz" sheetId="1" r:id="rId1"/>
    <sheet name="1.57542 GHz" sheetId="2" r:id="rId2"/>
    <sheet name="1.277 GHz" sheetId="3" r:id="rId3"/>
    <sheet name="Lengths" sheetId="4" r:id="rId4"/>
    <sheet name="USEFUL INFO" sheetId="5" r:id="rId5"/>
  </sheets>
  <definedNames/>
  <calcPr fullCalcOnLoad="1"/>
</workbook>
</file>

<file path=xl/sharedStrings.xml><?xml version="1.0" encoding="utf-8"?>
<sst xmlns="http://schemas.openxmlformats.org/spreadsheetml/2006/main" count="1764" uniqueCount="143">
  <si>
    <t>Er</t>
  </si>
  <si>
    <t>=</t>
  </si>
  <si>
    <t>Fsub0</t>
  </si>
  <si>
    <t>h</t>
  </si>
  <si>
    <t>Dielectric Constant</t>
  </si>
  <si>
    <t xml:space="preserve">Center frequency </t>
  </si>
  <si>
    <t>Thickness of conductor</t>
  </si>
  <si>
    <t>height of dielectric</t>
  </si>
  <si>
    <t>Patch input impedance</t>
  </si>
  <si>
    <t>Hz</t>
  </si>
  <si>
    <t>ohms</t>
  </si>
  <si>
    <t>Wavelength in free space</t>
  </si>
  <si>
    <t>m/s</t>
  </si>
  <si>
    <t>c</t>
  </si>
  <si>
    <t>SOL</t>
  </si>
  <si>
    <t>m</t>
  </si>
  <si>
    <t>B</t>
  </si>
  <si>
    <t>Sub-equation</t>
  </si>
  <si>
    <t xml:space="preserve">A = </t>
  </si>
  <si>
    <t>Sub-equation 2</t>
  </si>
  <si>
    <t>INPUTS</t>
  </si>
  <si>
    <t>CONSTANTS</t>
  </si>
  <si>
    <t>in</t>
  </si>
  <si>
    <t>A</t>
  </si>
  <si>
    <t>E_eff</t>
  </si>
  <si>
    <t>Effective dielectric</t>
  </si>
  <si>
    <t>Lambda</t>
  </si>
  <si>
    <t>Z_50</t>
  </si>
  <si>
    <t>Z_100</t>
  </si>
  <si>
    <t>impedance</t>
  </si>
  <si>
    <t>resonant length</t>
  </si>
  <si>
    <t>radiator diameter</t>
  </si>
  <si>
    <t>width of radiator</t>
  </si>
  <si>
    <t>N_f</t>
  </si>
  <si>
    <t xml:space="preserve">Number of feeds </t>
  </si>
  <si>
    <t>Impedance of patch</t>
  </si>
  <si>
    <t>Zin</t>
  </si>
  <si>
    <t>CORPORATE FEED NETWORK</t>
  </si>
  <si>
    <t>CYLINDRICAL PATCH</t>
  </si>
  <si>
    <t>MISC VALUES</t>
  </si>
  <si>
    <t>cm</t>
  </si>
  <si>
    <t>mm</t>
  </si>
  <si>
    <t>Lambda_0</t>
  </si>
  <si>
    <t>d_airframe</t>
  </si>
  <si>
    <t>OD of airframe</t>
  </si>
  <si>
    <t>Thickness of GND plane</t>
  </si>
  <si>
    <t>t_radiator</t>
  </si>
  <si>
    <t>t_gnd</t>
  </si>
  <si>
    <t>D_patch</t>
  </si>
  <si>
    <t>L_patch</t>
  </si>
  <si>
    <t>W_patch</t>
  </si>
  <si>
    <t>Portland State Aerospace Society Cylindrical Patch Antenna Calculator</t>
  </si>
  <si>
    <t xml:space="preserve">w/h (if w/h &gt; 2) = </t>
  </si>
  <si>
    <t xml:space="preserve">w/h (if w/h &lt; 2) = </t>
  </si>
  <si>
    <t>width of 50 ohm line</t>
  </si>
  <si>
    <t>Z_50T100</t>
  </si>
  <si>
    <t>Lenfth of 1/4wave T</t>
  </si>
  <si>
    <t>width of 100 ohm line</t>
  </si>
  <si>
    <t>Z_100TZin</t>
  </si>
  <si>
    <t>width of 50/100 trans.</t>
  </si>
  <si>
    <t>Z of 50/100 1/4wv tans.</t>
  </si>
  <si>
    <t>L_50T100</t>
  </si>
  <si>
    <t>L_100TZin</t>
  </si>
  <si>
    <t>W_100TZin</t>
  </si>
  <si>
    <t>W_50T100</t>
  </si>
  <si>
    <t>W_50</t>
  </si>
  <si>
    <t>Z of 100/Zin 1/4wv tans.</t>
  </si>
  <si>
    <t>width of 100/Zin trans.</t>
  </si>
  <si>
    <t>W_Zin</t>
  </si>
  <si>
    <t>width of Zin line</t>
  </si>
  <si>
    <t>CALCULATIONS</t>
  </si>
  <si>
    <t>Ohms</t>
  </si>
  <si>
    <t>W_100</t>
  </si>
  <si>
    <t>W_50: Calculate the width of a 50ohm line</t>
  </si>
  <si>
    <t>W_100: Calculate the width of a 100ohm line</t>
  </si>
  <si>
    <t>W_Zin: Calculate the width of the feed into the CPA</t>
  </si>
  <si>
    <t>50T100: Calculate the length of the 70.7 ohm 1/4 wave transformer</t>
  </si>
  <si>
    <t>Width of 50 ohm line</t>
  </si>
  <si>
    <t>Width of 100 ohm line</t>
  </si>
  <si>
    <t>Width of Zin line into patch</t>
  </si>
  <si>
    <t>Z of 1/4wave trans.</t>
  </si>
  <si>
    <t>Width of 50/100 1/4W T</t>
  </si>
  <si>
    <t>Lambda50T100</t>
  </si>
  <si>
    <t>Wavelength</t>
  </si>
  <si>
    <t>1/4 Wavelength</t>
  </si>
  <si>
    <t>100TZin: Calculate the length of the final (nearest to the CPA) Zin to 100 ohms 1/4 wave transformer</t>
  </si>
  <si>
    <t>inputs (sometimes optional)</t>
  </si>
  <si>
    <t>outputs</t>
  </si>
  <si>
    <t>USEFUL INFORMATION</t>
  </si>
  <si>
    <t>1/2 Oz.</t>
  </si>
  <si>
    <t>1 Oz.</t>
  </si>
  <si>
    <t>2 Oz.</t>
  </si>
  <si>
    <t>3 Oz</t>
  </si>
  <si>
    <t>4 Oz</t>
  </si>
  <si>
    <t>5 Oz.</t>
  </si>
  <si>
    <t>Cu plating</t>
  </si>
  <si>
    <t>Thickness (0.001")</t>
  </si>
  <si>
    <t xml:space="preserve">from </t>
  </si>
  <si>
    <t>http://www.standardpc.com/laminates.htm</t>
  </si>
  <si>
    <t>(Overrides automatic calculation in G32 - don’t forget to verify with WRAPPAT.EXE)</t>
  </si>
  <si>
    <t>07/292003</t>
  </si>
  <si>
    <t>Version 1 of the spreadsheet. Correlates with Dave Turner's hand-calculated numbers</t>
  </si>
  <si>
    <t>feeds</t>
  </si>
  <si>
    <t>2.4GHz</t>
  </si>
  <si>
    <t>Length of the CPAs</t>
  </si>
  <si>
    <t>wire</t>
  </si>
  <si>
    <t>(</t>
  </si>
  <si>
    <t>)</t>
  </si>
  <si>
    <t>;</t>
  </si>
  <si>
    <t>OUTLINE</t>
  </si>
  <si>
    <t>PATCH</t>
  </si>
  <si>
    <t>rect</t>
  </si>
  <si>
    <t>);</t>
  </si>
  <si>
    <t>ZIN FEEDS</t>
  </si>
  <si>
    <t>ZIN 90 degrees</t>
  </si>
  <si>
    <t>ZINT100</t>
  </si>
  <si>
    <t>Z100</t>
  </si>
  <si>
    <t>Z50</t>
  </si>
  <si>
    <t>Z50 90 Degrees</t>
  </si>
  <si>
    <t>Z50T100</t>
  </si>
  <si>
    <t>via</t>
  </si>
  <si>
    <t>VIA</t>
  </si>
  <si>
    <t>Round</t>
  </si>
  <si>
    <t>Corner 1</t>
  </si>
  <si>
    <t>Corner 2</t>
  </si>
  <si>
    <t>Corner 3</t>
  </si>
  <si>
    <t>Corner 4</t>
  </si>
  <si>
    <t>Corner 1b</t>
  </si>
  <si>
    <t>Corner 1a</t>
  </si>
  <si>
    <t>DIVIDERS</t>
  </si>
  <si>
    <t xml:space="preserve">) </t>
  </si>
  <si>
    <t>GPS</t>
  </si>
  <si>
    <t>ATV</t>
  </si>
  <si>
    <t>TOTAL</t>
  </si>
  <si>
    <t>WIFI</t>
  </si>
  <si>
    <t>1.57GHz</t>
  </si>
  <si>
    <t>1.28GHz</t>
  </si>
  <si>
    <t>Original</t>
  </si>
  <si>
    <t>Original:</t>
  </si>
  <si>
    <t>WIFI ANTENNA REQUIRES 8 FEEDS; THIS STILL NEEDS TO BE DONE!!!</t>
  </si>
  <si>
    <t>THIS IS FOR THE SOLID POLYETHYELEN ANTENNAS</t>
  </si>
  <si>
    <t>BACKWARDS PROPAGATE TO GET THE RESONANT FREQUENCY OF THE v2 PATCH</t>
  </si>
  <si>
    <t>old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</si>
</sst>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  <numFmt numFmtId="171" formatCode="0.000E+00"/>
    <numFmt numFmtId="172" formatCode="0.0000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1" fontId="0" fillId="0" borderId="0" xfId="0" applyNumberFormat="1" applyFill="1" applyAlignment="1">
      <alignment/>
    </xf>
    <xf numFmtId="11" fontId="0" fillId="3" borderId="0" xfId="0" applyNumberFormat="1" applyFill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4" borderId="0" xfId="0" applyFill="1" applyBorder="1" applyAlignment="1">
      <alignment/>
    </xf>
    <xf numFmtId="170" fontId="0" fillId="4" borderId="0" xfId="0" applyNumberFormat="1" applyFill="1" applyBorder="1" applyAlignment="1">
      <alignment/>
    </xf>
    <xf numFmtId="169" fontId="0" fillId="4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70" fontId="0" fillId="4" borderId="0" xfId="0" applyNumberFormat="1" applyFill="1" applyAlignment="1">
      <alignment/>
    </xf>
    <xf numFmtId="0" fontId="0" fillId="4" borderId="0" xfId="0" applyFill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9" fontId="0" fillId="3" borderId="0" xfId="0" applyNumberFormat="1" applyFill="1" applyAlignment="1">
      <alignment/>
    </xf>
    <xf numFmtId="14" fontId="0" fillId="4" borderId="0" xfId="0" applyNumberFormat="1" applyFill="1" applyAlignment="1">
      <alignment/>
    </xf>
    <xf numFmtId="14" fontId="0" fillId="2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168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9" fontId="0" fillId="4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172" fontId="0" fillId="2" borderId="0" xfId="0" applyNumberFormat="1" applyFill="1" applyBorder="1" applyAlignment="1">
      <alignment/>
    </xf>
    <xf numFmtId="0" fontId="0" fillId="4" borderId="0" xfId="0" applyFill="1" applyBorder="1" applyAlignment="1">
      <alignment horizontal="center"/>
    </xf>
    <xf numFmtId="169" fontId="0" fillId="2" borderId="3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169" fontId="0" fillId="2" borderId="4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9" fontId="0" fillId="0" borderId="0" xfId="0" applyNumberFormat="1" applyAlignment="1">
      <alignment horizontal="center"/>
    </xf>
    <xf numFmtId="0" fontId="5" fillId="2" borderId="0" xfId="0" applyFont="1" applyFill="1" applyAlignment="1">
      <alignment/>
    </xf>
    <xf numFmtId="0" fontId="0" fillId="5" borderId="0" xfId="0" applyFill="1" applyBorder="1" applyAlignment="1">
      <alignment/>
    </xf>
    <xf numFmtId="168" fontId="0" fillId="5" borderId="0" xfId="0" applyNumberFormat="1" applyFill="1" applyBorder="1" applyAlignment="1">
      <alignment/>
    </xf>
    <xf numFmtId="168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172" fontId="0" fillId="5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9"/>
  <sheetViews>
    <sheetView workbookViewId="0" topLeftCell="A1">
      <selection activeCell="G14" sqref="G14"/>
    </sheetView>
  </sheetViews>
  <sheetFormatPr defaultColWidth="9.140625" defaultRowHeight="12.75"/>
  <cols>
    <col min="2" max="2" width="12.28125" style="0" customWidth="1"/>
    <col min="5" max="5" width="12.28125" style="0" customWidth="1"/>
    <col min="7" max="7" width="11.57421875" style="0" bestFit="1" customWidth="1"/>
    <col min="13" max="13" width="12.421875" style="0" bestFit="1" customWidth="1"/>
    <col min="19" max="19" width="10.57421875" style="50" bestFit="1" customWidth="1"/>
    <col min="20" max="41" width="9.140625" style="50" customWidth="1"/>
  </cols>
  <sheetData>
    <row r="1" ht="12.75">
      <c r="A1" s="7" t="s">
        <v>51</v>
      </c>
    </row>
    <row r="2" ht="12.75">
      <c r="A2" s="13">
        <v>38156</v>
      </c>
    </row>
    <row r="3" spans="1:15" ht="12.75">
      <c r="A3" s="13"/>
      <c r="H3" s="57" t="s">
        <v>140</v>
      </c>
      <c r="I3" s="57"/>
      <c r="J3" s="57"/>
      <c r="K3" s="57"/>
      <c r="L3" s="57"/>
      <c r="M3" s="57"/>
      <c r="N3" s="57"/>
      <c r="O3" s="57"/>
    </row>
    <row r="4" spans="1:15" ht="12.75">
      <c r="A4" s="32"/>
      <c r="B4" t="s">
        <v>1</v>
      </c>
      <c r="C4" t="s">
        <v>86</v>
      </c>
      <c r="H4" s="53" t="s">
        <v>139</v>
      </c>
      <c r="I4" s="53"/>
      <c r="J4" s="53"/>
      <c r="K4" s="53"/>
      <c r="L4" s="53"/>
      <c r="M4" s="53"/>
      <c r="N4" s="53"/>
      <c r="O4" s="1"/>
    </row>
    <row r="5" spans="1:18" ht="12.75">
      <c r="A5" s="31"/>
      <c r="B5" t="s">
        <v>1</v>
      </c>
      <c r="C5" t="s">
        <v>87</v>
      </c>
      <c r="H5" s="57" t="s">
        <v>141</v>
      </c>
      <c r="I5" s="57"/>
      <c r="J5" s="57"/>
      <c r="K5" s="57"/>
      <c r="L5" s="57"/>
      <c r="M5" s="57"/>
      <c r="N5" s="57"/>
      <c r="O5" s="57"/>
      <c r="R5" s="50" t="s">
        <v>109</v>
      </c>
    </row>
    <row r="6" ht="12.75">
      <c r="A6" s="13"/>
    </row>
    <row r="7" spans="1:41" ht="12.75">
      <c r="A7" s="4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S7" s="50" t="s">
        <v>105</v>
      </c>
      <c r="T7" s="50">
        <v>0.01</v>
      </c>
      <c r="U7" s="50" t="s">
        <v>106</v>
      </c>
      <c r="V7" s="50">
        <v>-9</v>
      </c>
      <c r="W7" s="50">
        <v>-6</v>
      </c>
      <c r="X7" s="50" t="s">
        <v>107</v>
      </c>
      <c r="Y7" s="50" t="s">
        <v>106</v>
      </c>
      <c r="Z7" s="50">
        <v>-9</v>
      </c>
      <c r="AA7" s="50">
        <v>6</v>
      </c>
      <c r="AB7" s="50" t="s">
        <v>107</v>
      </c>
      <c r="AC7" s="50" t="s">
        <v>106</v>
      </c>
      <c r="AD7" s="50">
        <v>9</v>
      </c>
      <c r="AE7" s="50">
        <v>6</v>
      </c>
      <c r="AF7" s="50" t="s">
        <v>107</v>
      </c>
      <c r="AG7" s="50" t="s">
        <v>106</v>
      </c>
      <c r="AH7" s="50">
        <v>9</v>
      </c>
      <c r="AI7" s="50">
        <v>-6</v>
      </c>
      <c r="AJ7" s="50" t="s">
        <v>107</v>
      </c>
      <c r="AK7" s="50" t="s">
        <v>106</v>
      </c>
      <c r="AL7" s="50">
        <v>-9</v>
      </c>
      <c r="AM7" s="50">
        <v>-6</v>
      </c>
      <c r="AN7" s="50" t="s">
        <v>107</v>
      </c>
      <c r="AO7" s="50" t="s">
        <v>108</v>
      </c>
    </row>
    <row r="8" spans="19:41" s="6" customFormat="1" ht="12.75"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2:18" ht="12.75">
      <c r="B9" t="s">
        <v>13</v>
      </c>
      <c r="C9" t="s">
        <v>1</v>
      </c>
      <c r="D9" t="s">
        <v>14</v>
      </c>
      <c r="F9" t="s">
        <v>1</v>
      </c>
      <c r="G9" s="2">
        <v>299792458</v>
      </c>
      <c r="H9" t="s">
        <v>12</v>
      </c>
      <c r="R9" s="50" t="s">
        <v>110</v>
      </c>
    </row>
    <row r="10" ht="12.75">
      <c r="G10" s="2"/>
    </row>
    <row r="11" spans="1:27" ht="12.75">
      <c r="A11" s="4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S11" s="50" t="s">
        <v>111</v>
      </c>
      <c r="T11" s="50" t="s">
        <v>106</v>
      </c>
      <c r="U11" s="50">
        <f>-G30/2</f>
        <v>-8.482300164692441</v>
      </c>
      <c r="V11" s="50">
        <f>O19*5</f>
        <v>0.35000000000000003</v>
      </c>
      <c r="W11" s="50" t="s">
        <v>107</v>
      </c>
      <c r="X11" s="50" t="s">
        <v>106</v>
      </c>
      <c r="Y11" s="50">
        <f>G30/2</f>
        <v>8.482300164692441</v>
      </c>
      <c r="Z11" s="52">
        <f>V11+G29</f>
        <v>2.6256936117319896</v>
      </c>
      <c r="AA11" s="50" t="s">
        <v>112</v>
      </c>
    </row>
    <row r="12" spans="19:41" s="6" customFormat="1" ht="12.75"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</row>
    <row r="13" spans="2:18" ht="12.75">
      <c r="B13" s="1" t="s">
        <v>0</v>
      </c>
      <c r="C13" s="1" t="s">
        <v>1</v>
      </c>
      <c r="D13" s="1" t="s">
        <v>4</v>
      </c>
      <c r="E13" s="1"/>
      <c r="F13" s="1" t="s">
        <v>1</v>
      </c>
      <c r="G13" s="58">
        <v>2.2891</v>
      </c>
      <c r="H13" s="1"/>
      <c r="I13" s="1"/>
      <c r="J13" s="1"/>
      <c r="K13" s="1"/>
      <c r="L13" s="1"/>
      <c r="M13" s="1"/>
      <c r="N13" s="1"/>
      <c r="O13" s="1"/>
      <c r="P13" s="1"/>
      <c r="R13" s="50" t="s">
        <v>113</v>
      </c>
    </row>
    <row r="14" spans="2:16" ht="12.75">
      <c r="B14" s="1" t="s">
        <v>2</v>
      </c>
      <c r="C14" s="1" t="s">
        <v>1</v>
      </c>
      <c r="D14" s="1" t="s">
        <v>5</v>
      </c>
      <c r="E14" s="1"/>
      <c r="F14" s="1" t="s">
        <v>1</v>
      </c>
      <c r="G14" s="59">
        <v>1714000000</v>
      </c>
      <c r="H14" s="1" t="s">
        <v>9</v>
      </c>
      <c r="I14" s="1"/>
      <c r="J14" s="1"/>
      <c r="K14" s="1"/>
      <c r="L14" s="1"/>
      <c r="M14" s="1"/>
      <c r="N14" s="1"/>
      <c r="O14" s="1"/>
      <c r="P14" s="1"/>
    </row>
    <row r="15" spans="2:27" ht="12.75">
      <c r="B15" s="1" t="s">
        <v>36</v>
      </c>
      <c r="C15" s="1" t="s">
        <v>1</v>
      </c>
      <c r="D15" s="1" t="s">
        <v>8</v>
      </c>
      <c r="E15" s="1"/>
      <c r="F15" s="1" t="s">
        <v>1</v>
      </c>
      <c r="G15" s="35"/>
      <c r="H15" s="1" t="s">
        <v>10</v>
      </c>
      <c r="I15" s="1" t="s">
        <v>99</v>
      </c>
      <c r="J15" s="1"/>
      <c r="K15" s="1"/>
      <c r="L15" s="1"/>
      <c r="M15" s="1"/>
      <c r="N15" s="1"/>
      <c r="O15" s="1"/>
      <c r="P15" s="1"/>
      <c r="S15" s="50" t="s">
        <v>111</v>
      </c>
      <c r="T15" s="50" t="s">
        <v>106</v>
      </c>
      <c r="U15" s="50">
        <f>-1.5*G30/4-G38/2</f>
        <v>-6.393828243031722</v>
      </c>
      <c r="V15" s="52">
        <f>Z11</f>
        <v>2.6256936117319896</v>
      </c>
      <c r="W15" s="50" t="s">
        <v>107</v>
      </c>
      <c r="X15" s="50" t="s">
        <v>106</v>
      </c>
      <c r="Y15" s="50">
        <f>-1.5*G30/4+G38/2</f>
        <v>-6.329622004006941</v>
      </c>
      <c r="Z15" s="50">
        <f>5*O19+Z11</f>
        <v>2.9756936117319897</v>
      </c>
      <c r="AA15" s="50" t="s">
        <v>112</v>
      </c>
    </row>
    <row r="16" spans="2:27" ht="12.75">
      <c r="B16" s="1"/>
      <c r="C16" s="1"/>
      <c r="D16" s="1"/>
      <c r="E16" s="1"/>
      <c r="F16" s="1"/>
      <c r="G16" s="45"/>
      <c r="H16" s="1"/>
      <c r="I16" s="1"/>
      <c r="J16" s="1"/>
      <c r="K16" s="1"/>
      <c r="L16" s="1"/>
      <c r="M16" s="1"/>
      <c r="N16" s="1"/>
      <c r="O16" s="1"/>
      <c r="P16" s="1"/>
      <c r="S16" s="50" t="s">
        <v>111</v>
      </c>
      <c r="T16" s="50" t="s">
        <v>106</v>
      </c>
      <c r="U16" s="50">
        <f>-0.5*G30/4-G38/2</f>
        <v>-2.1526781606855008</v>
      </c>
      <c r="V16" s="52">
        <f>Z11</f>
        <v>2.6256936117319896</v>
      </c>
      <c r="W16" s="50" t="s">
        <v>107</v>
      </c>
      <c r="X16" s="50" t="s">
        <v>106</v>
      </c>
      <c r="Y16" s="50">
        <f>-0.5*G30/4+G38/2</f>
        <v>-2.08847192166072</v>
      </c>
      <c r="Z16" s="50">
        <f>5*O19+Z11</f>
        <v>2.9756936117319897</v>
      </c>
      <c r="AA16" s="50" t="s">
        <v>112</v>
      </c>
    </row>
    <row r="17" spans="2:27" ht="12" customHeight="1">
      <c r="B17" s="1" t="s">
        <v>43</v>
      </c>
      <c r="C17" s="1" t="s">
        <v>1</v>
      </c>
      <c r="D17" s="1" t="s">
        <v>44</v>
      </c>
      <c r="E17" s="1"/>
      <c r="F17" s="1" t="s">
        <v>1</v>
      </c>
      <c r="G17" s="36">
        <f>IF(ISBLANK(I17),IF(ISBLANK(K17),IF(ISBLANK(M17),IF(ISBLANK(O17),"NO VALUE!",O17*0.0254),M17/1000),K17/100),I17)</f>
        <v>0.13335</v>
      </c>
      <c r="H17" s="34" t="s">
        <v>15</v>
      </c>
      <c r="I17" s="37"/>
      <c r="J17" s="1" t="s">
        <v>15</v>
      </c>
      <c r="K17" s="37"/>
      <c r="L17" s="1" t="s">
        <v>40</v>
      </c>
      <c r="M17" s="37"/>
      <c r="N17" s="1" t="s">
        <v>41</v>
      </c>
      <c r="O17" s="48">
        <v>5.25</v>
      </c>
      <c r="P17" s="1" t="s">
        <v>22</v>
      </c>
      <c r="S17" s="50" t="s">
        <v>111</v>
      </c>
      <c r="T17" s="50" t="s">
        <v>106</v>
      </c>
      <c r="U17" s="50">
        <f>0.5*G30/4-G38/2</f>
        <v>2.08847192166072</v>
      </c>
      <c r="V17" s="52">
        <f>Z11</f>
        <v>2.6256936117319896</v>
      </c>
      <c r="W17" s="50" t="s">
        <v>107</v>
      </c>
      <c r="X17" s="50" t="s">
        <v>106</v>
      </c>
      <c r="Y17" s="50">
        <f>0.5*G30/4+G38/2</f>
        <v>2.1526781606855008</v>
      </c>
      <c r="Z17" s="50">
        <f>5*O19+Z11</f>
        <v>2.9756936117319897</v>
      </c>
      <c r="AA17" s="50" t="s">
        <v>112</v>
      </c>
    </row>
    <row r="18" spans="2:27" ht="12.75">
      <c r="B18" s="1" t="s">
        <v>47</v>
      </c>
      <c r="C18" s="1" t="s">
        <v>1</v>
      </c>
      <c r="D18" s="1" t="s">
        <v>45</v>
      </c>
      <c r="E18" s="1"/>
      <c r="F18" s="1" t="s">
        <v>1</v>
      </c>
      <c r="G18" s="36">
        <f>IF(ISBLANK(I18),IF(ISBLANK(K18),IF(ISBLANK(M18),IF(ISBLANK(O18),"NO VALUE!",O18*0.0254),M18/1000),K18/100),I18)</f>
        <v>0.000127</v>
      </c>
      <c r="H18" s="1" t="s">
        <v>15</v>
      </c>
      <c r="I18" s="38"/>
      <c r="J18" s="1" t="s">
        <v>15</v>
      </c>
      <c r="K18" s="38"/>
      <c r="L18" s="1" t="s">
        <v>40</v>
      </c>
      <c r="M18" s="38"/>
      <c r="N18" s="1" t="s">
        <v>41</v>
      </c>
      <c r="O18" s="47">
        <v>0.005</v>
      </c>
      <c r="P18" s="1" t="s">
        <v>22</v>
      </c>
      <c r="S18" s="50" t="s">
        <v>111</v>
      </c>
      <c r="T18" s="50" t="s">
        <v>106</v>
      </c>
      <c r="U18" s="50">
        <f>1.5*G30/4-G38/2</f>
        <v>6.329622004006941</v>
      </c>
      <c r="V18" s="52">
        <f>Z11</f>
        <v>2.6256936117319896</v>
      </c>
      <c r="W18" s="50" t="s">
        <v>107</v>
      </c>
      <c r="X18" s="50" t="s">
        <v>106</v>
      </c>
      <c r="Y18" s="50">
        <f>1.5*G30/4+G38/2</f>
        <v>6.393828243031722</v>
      </c>
      <c r="Z18" s="50">
        <f>5*O19+Z11</f>
        <v>2.9756936117319897</v>
      </c>
      <c r="AA18" s="50" t="s">
        <v>112</v>
      </c>
    </row>
    <row r="19" spans="2:16" ht="12.75">
      <c r="B19" s="1" t="s">
        <v>3</v>
      </c>
      <c r="C19" s="1" t="s">
        <v>1</v>
      </c>
      <c r="D19" s="1" t="s">
        <v>7</v>
      </c>
      <c r="E19" s="1"/>
      <c r="F19" s="1" t="s">
        <v>1</v>
      </c>
      <c r="G19" s="36">
        <f>IF(ISBLANK(I19),IF(ISBLANK(K19),IF(ISBLANK(M19),IF(ISBLANK(O19),"NO VALUE!",O19*0.0254),M19/1000),K19/100),I19)</f>
        <v>0.001778</v>
      </c>
      <c r="H19" s="1" t="s">
        <v>15</v>
      </c>
      <c r="I19" s="38"/>
      <c r="J19" s="1" t="s">
        <v>15</v>
      </c>
      <c r="K19" s="38"/>
      <c r="L19" s="1" t="s">
        <v>40</v>
      </c>
      <c r="M19" s="38"/>
      <c r="N19" s="1" t="s">
        <v>41</v>
      </c>
      <c r="O19" s="38">
        <v>0.07</v>
      </c>
      <c r="P19" s="1" t="s">
        <v>22</v>
      </c>
    </row>
    <row r="20" spans="2:18" ht="12.75">
      <c r="B20" s="1" t="s">
        <v>46</v>
      </c>
      <c r="C20" s="1"/>
      <c r="D20" s="1" t="s">
        <v>6</v>
      </c>
      <c r="E20" s="1"/>
      <c r="F20" s="1" t="s">
        <v>1</v>
      </c>
      <c r="G20" s="36">
        <f>IF(ISBLANK(I20),IF(ISBLANK(K20),IF(ISBLANK(M20),IF(ISBLANK(O20),"NO VALUE!",O20*0.0254),M20/1000),K20/100),I20)</f>
        <v>1.7525999999999998E-05</v>
      </c>
      <c r="H20" s="1" t="s">
        <v>15</v>
      </c>
      <c r="I20" s="39"/>
      <c r="J20" s="1" t="s">
        <v>15</v>
      </c>
      <c r="K20" s="39"/>
      <c r="L20" s="1" t="s">
        <v>40</v>
      </c>
      <c r="M20" s="39"/>
      <c r="N20" s="1" t="s">
        <v>41</v>
      </c>
      <c r="O20" s="49">
        <v>0.00069</v>
      </c>
      <c r="P20" s="1" t="s">
        <v>22</v>
      </c>
      <c r="R20" s="50" t="s">
        <v>114</v>
      </c>
    </row>
    <row r="21" ht="12.75">
      <c r="G21" s="8"/>
    </row>
    <row r="22" spans="1:27" ht="12.75">
      <c r="A22" s="4" t="s">
        <v>39</v>
      </c>
      <c r="B22" s="4"/>
      <c r="C22" s="4"/>
      <c r="D22" s="4"/>
      <c r="E22" s="4"/>
      <c r="F22" s="4"/>
      <c r="G22" s="9"/>
      <c r="H22" s="4"/>
      <c r="I22" s="4"/>
      <c r="J22" s="4"/>
      <c r="K22" s="4"/>
      <c r="L22" s="4"/>
      <c r="M22" s="4"/>
      <c r="N22" s="4"/>
      <c r="O22" s="4"/>
      <c r="P22" s="4"/>
      <c r="S22" s="50" t="s">
        <v>111</v>
      </c>
      <c r="T22" s="50" t="s">
        <v>106</v>
      </c>
      <c r="U22" s="50">
        <f>Y15</f>
        <v>-6.329622004006941</v>
      </c>
      <c r="V22" s="52">
        <f>Z15</f>
        <v>2.9756936117319897</v>
      </c>
      <c r="W22" s="50" t="s">
        <v>107</v>
      </c>
      <c r="X22" s="50" t="s">
        <v>106</v>
      </c>
      <c r="Y22" s="50">
        <f>U22+(0.5*G30/4-G46)/2</f>
        <v>-5.908428427939486</v>
      </c>
      <c r="Z22" s="52">
        <f>V22+G38</f>
        <v>3.03989985075677</v>
      </c>
      <c r="AA22" s="50" t="s">
        <v>112</v>
      </c>
    </row>
    <row r="23" spans="7:27" ht="12.75">
      <c r="G23" s="8"/>
      <c r="S23" s="50" t="s">
        <v>111</v>
      </c>
      <c r="T23" s="50" t="s">
        <v>106</v>
      </c>
      <c r="U23" s="50">
        <f>U16</f>
        <v>-2.1526781606855008</v>
      </c>
      <c r="V23" s="52">
        <f>Z16</f>
        <v>2.9756936117319897</v>
      </c>
      <c r="W23" s="50" t="s">
        <v>107</v>
      </c>
      <c r="X23" s="50" t="s">
        <v>106</v>
      </c>
      <c r="Y23" s="50">
        <f>U23-(0.5*G30/4-G46)/2</f>
        <v>-2.573871736752955</v>
      </c>
      <c r="Z23" s="52">
        <f>V23+G38</f>
        <v>3.03989985075677</v>
      </c>
      <c r="AA23" s="50" t="s">
        <v>112</v>
      </c>
    </row>
    <row r="24" spans="2:27" ht="12.75">
      <c r="B24" t="s">
        <v>42</v>
      </c>
      <c r="C24" t="s">
        <v>1</v>
      </c>
      <c r="D24" t="s">
        <v>11</v>
      </c>
      <c r="F24" t="s">
        <v>1</v>
      </c>
      <c r="G24" s="17">
        <f>M24/0.0254</f>
        <v>6.886145085860767</v>
      </c>
      <c r="H24" t="s">
        <v>22</v>
      </c>
      <c r="I24" s="21">
        <f>M24*1000</f>
        <v>174.90808518086348</v>
      </c>
      <c r="J24" s="16" t="s">
        <v>41</v>
      </c>
      <c r="K24" s="20">
        <f>M24*100</f>
        <v>17.490808518086347</v>
      </c>
      <c r="L24" s="16" t="s">
        <v>40</v>
      </c>
      <c r="M24" s="18">
        <f>G9/G14</f>
        <v>0.17490808518086348</v>
      </c>
      <c r="N24" s="19" t="s">
        <v>15</v>
      </c>
      <c r="S24" s="50" t="s">
        <v>111</v>
      </c>
      <c r="T24" s="50" t="s">
        <v>106</v>
      </c>
      <c r="U24" s="50">
        <f>Y17</f>
        <v>2.1526781606855008</v>
      </c>
      <c r="V24" s="52">
        <f>Z17</f>
        <v>2.9756936117319897</v>
      </c>
      <c r="W24" s="50" t="s">
        <v>107</v>
      </c>
      <c r="X24" s="50" t="s">
        <v>106</v>
      </c>
      <c r="Y24" s="50">
        <f>U24+(0.5*G30/4-G46)/2</f>
        <v>2.573871736752955</v>
      </c>
      <c r="Z24" s="52">
        <f>V24+G38</f>
        <v>3.03989985075677</v>
      </c>
      <c r="AA24" s="50" t="s">
        <v>112</v>
      </c>
    </row>
    <row r="25" spans="7:27" ht="12.75">
      <c r="G25" s="3"/>
      <c r="H25" s="3"/>
      <c r="M25" s="17"/>
      <c r="S25" s="50" t="s">
        <v>111</v>
      </c>
      <c r="T25" s="50" t="s">
        <v>106</v>
      </c>
      <c r="U25" s="50">
        <f>U18</f>
        <v>6.329622004006941</v>
      </c>
      <c r="V25" s="52">
        <f>Z18</f>
        <v>2.9756936117319897</v>
      </c>
      <c r="W25" s="50" t="s">
        <v>107</v>
      </c>
      <c r="X25" s="50" t="s">
        <v>106</v>
      </c>
      <c r="Y25" s="50">
        <f>U25-(0.5*G30/4-G46)/2</f>
        <v>5.908428427939486</v>
      </c>
      <c r="Z25" s="52">
        <f>V25+G38</f>
        <v>3.03989985075677</v>
      </c>
      <c r="AA25" s="50" t="s">
        <v>112</v>
      </c>
    </row>
    <row r="26" spans="1:16" ht="12.75">
      <c r="A26" s="4" t="s">
        <v>38</v>
      </c>
      <c r="B26" s="4"/>
      <c r="C26" s="4"/>
      <c r="D26" s="4"/>
      <c r="E26" s="4"/>
      <c r="F26" s="4"/>
      <c r="G26" s="9"/>
      <c r="H26" s="4"/>
      <c r="I26" s="4"/>
      <c r="J26" s="4"/>
      <c r="K26" s="4"/>
      <c r="L26" s="4"/>
      <c r="M26" s="30"/>
      <c r="N26" s="4"/>
      <c r="O26" s="4"/>
      <c r="P26" s="4"/>
    </row>
    <row r="27" spans="7:18" ht="12.75">
      <c r="G27" s="8"/>
      <c r="M27" s="17"/>
      <c r="R27" s="50" t="s">
        <v>115</v>
      </c>
    </row>
    <row r="28" spans="2:15" ht="12.75">
      <c r="B28" s="27" t="s">
        <v>48</v>
      </c>
      <c r="C28" s="27" t="s">
        <v>1</v>
      </c>
      <c r="D28" s="27" t="s">
        <v>31</v>
      </c>
      <c r="E28" s="27"/>
      <c r="F28" s="27" t="s">
        <v>1</v>
      </c>
      <c r="G28" s="40">
        <f>M28/0.0254</f>
        <v>5.4</v>
      </c>
      <c r="H28" s="27" t="s">
        <v>22</v>
      </c>
      <c r="I28" s="33">
        <f>M28*1000</f>
        <v>137.16</v>
      </c>
      <c r="J28" s="29" t="s">
        <v>41</v>
      </c>
      <c r="K28" s="28">
        <f>M28*100</f>
        <v>13.716000000000001</v>
      </c>
      <c r="L28" s="29" t="s">
        <v>40</v>
      </c>
      <c r="M28" s="25">
        <f>G17+2*G18+2*G19</f>
        <v>0.13716</v>
      </c>
      <c r="N28" s="29" t="s">
        <v>15</v>
      </c>
      <c r="O28" s="54" t="s">
        <v>137</v>
      </c>
    </row>
    <row r="29" spans="2:27" ht="12.75">
      <c r="B29" s="27" t="s">
        <v>49</v>
      </c>
      <c r="C29" s="27" t="s">
        <v>1</v>
      </c>
      <c r="D29" s="27" t="s">
        <v>30</v>
      </c>
      <c r="E29" s="27"/>
      <c r="F29" s="27" t="s">
        <v>1</v>
      </c>
      <c r="G29" s="40">
        <f>M29/0.0254</f>
        <v>2.2756936117319895</v>
      </c>
      <c r="H29" s="27" t="s">
        <v>22</v>
      </c>
      <c r="I29" s="33">
        <f>M29*1000</f>
        <v>57.80261773799253</v>
      </c>
      <c r="J29" s="29" t="s">
        <v>41</v>
      </c>
      <c r="K29" s="28">
        <f>M29*100</f>
        <v>5.7802617737992525</v>
      </c>
      <c r="L29" s="29" t="s">
        <v>40</v>
      </c>
      <c r="M29" s="55">
        <f>$M$24/(2*SQRT($G13))</f>
        <v>0.05780261773799253</v>
      </c>
      <c r="N29" s="54" t="s">
        <v>15</v>
      </c>
      <c r="O29" s="57">
        <v>0.0578128340688266</v>
      </c>
      <c r="P29" s="56">
        <f>O29-M29</f>
        <v>1.0216330834068865E-05</v>
      </c>
      <c r="S29" s="50" t="s">
        <v>111</v>
      </c>
      <c r="T29" s="50" t="s">
        <v>106</v>
      </c>
      <c r="U29" s="50">
        <f>Y22</f>
        <v>-5.908428427939486</v>
      </c>
      <c r="V29" s="50">
        <f>V22+(Z22-V22)/2-$G$45/2</f>
        <v>2.976603990684915</v>
      </c>
      <c r="W29" s="50" t="s">
        <v>107</v>
      </c>
      <c r="X29" s="50" t="s">
        <v>106</v>
      </c>
      <c r="Y29" s="52">
        <f>U29+$G$46</f>
        <v>-4.630240538901285</v>
      </c>
      <c r="Z29" s="50">
        <f>V22+(Z22-V22)/2+$G$45/2</f>
        <v>3.0389894718038444</v>
      </c>
      <c r="AA29" s="50" t="s">
        <v>112</v>
      </c>
    </row>
    <row r="30" spans="2:27" ht="12.75">
      <c r="B30" s="27" t="s">
        <v>50</v>
      </c>
      <c r="C30" s="27" t="s">
        <v>1</v>
      </c>
      <c r="D30" s="27" t="s">
        <v>32</v>
      </c>
      <c r="E30" s="27"/>
      <c r="F30" s="27" t="s">
        <v>1</v>
      </c>
      <c r="G30" s="40">
        <f>M30/0.0254</f>
        <v>16.964600329384883</v>
      </c>
      <c r="H30" s="27" t="s">
        <v>22</v>
      </c>
      <c r="I30" s="33">
        <f>M30*1000</f>
        <v>430.90084836637607</v>
      </c>
      <c r="J30" s="29" t="s">
        <v>41</v>
      </c>
      <c r="K30" s="28">
        <f>M30*100</f>
        <v>43.0900848366376</v>
      </c>
      <c r="L30" s="29" t="s">
        <v>40</v>
      </c>
      <c r="M30" s="25">
        <f>PI()*$M$28</f>
        <v>0.43090084836637604</v>
      </c>
      <c r="N30" s="29" t="s">
        <v>15</v>
      </c>
      <c r="S30" s="50" t="s">
        <v>111</v>
      </c>
      <c r="T30" s="50" t="s">
        <v>106</v>
      </c>
      <c r="U30" s="52">
        <f>Y30-$G$46</f>
        <v>-3.8520596257911563</v>
      </c>
      <c r="V30" s="50">
        <f>V23+(Z23-V23)/2-$G$45/2</f>
        <v>2.976603990684915</v>
      </c>
      <c r="W30" s="50" t="s">
        <v>107</v>
      </c>
      <c r="X30" s="50" t="s">
        <v>106</v>
      </c>
      <c r="Y30" s="50">
        <f>Y23</f>
        <v>-2.573871736752955</v>
      </c>
      <c r="Z30" s="50">
        <f>V23+(Z23-V23)/2+$G$45/2</f>
        <v>3.0389894718038444</v>
      </c>
      <c r="AA30" s="50" t="s">
        <v>112</v>
      </c>
    </row>
    <row r="31" spans="2:27" ht="12.75">
      <c r="B31" s="27" t="s">
        <v>33</v>
      </c>
      <c r="C31" s="27" t="s">
        <v>1</v>
      </c>
      <c r="D31" s="27" t="s">
        <v>34</v>
      </c>
      <c r="E31" s="27"/>
      <c r="F31" s="27" t="s">
        <v>1</v>
      </c>
      <c r="G31" s="22">
        <f>IF(I31&lt;1,1,IF(I31&lt;2,2,IF(I31&lt;4,4,IF(I31&lt;8,8,IF(I31&lt;16,16,"Error! Too many Lambda")))))</f>
        <v>4</v>
      </c>
      <c r="H31" s="46" t="s">
        <v>102</v>
      </c>
      <c r="I31" s="11">
        <f>M30/(M24/SQRT($G$13))</f>
        <v>3.7273471793229302</v>
      </c>
      <c r="J31" s="29" t="s">
        <v>102</v>
      </c>
      <c r="M31" s="17"/>
      <c r="S31" s="50" t="s">
        <v>111</v>
      </c>
      <c r="T31" s="50" t="s">
        <v>106</v>
      </c>
      <c r="U31" s="50">
        <f>Y24</f>
        <v>2.573871736752955</v>
      </c>
      <c r="V31" s="50">
        <f>V24+(Z24-V24)/2-$G$45/2</f>
        <v>2.976603990684915</v>
      </c>
      <c r="W31" s="50" t="s">
        <v>107</v>
      </c>
      <c r="X31" s="50" t="s">
        <v>106</v>
      </c>
      <c r="Y31" s="52">
        <f>U31+$G$46</f>
        <v>3.8520596257911563</v>
      </c>
      <c r="Z31" s="50">
        <f>V24+(Z24-V24)/2+$G$45/2</f>
        <v>3.0389894718038444</v>
      </c>
      <c r="AA31" s="50" t="s">
        <v>112</v>
      </c>
    </row>
    <row r="32" spans="2:27" ht="12.75">
      <c r="B32" s="27" t="s">
        <v>36</v>
      </c>
      <c r="C32" s="27" t="s">
        <v>1</v>
      </c>
      <c r="D32" s="27" t="s">
        <v>35</v>
      </c>
      <c r="E32" s="27"/>
      <c r="F32" s="27" t="s">
        <v>1</v>
      </c>
      <c r="G32" s="23">
        <f>IF(ISBLANK($G$15),G31*60*M24/M30,$G$15)</f>
        <v>97.41902482335156</v>
      </c>
      <c r="H32" s="22" t="s">
        <v>10</v>
      </c>
      <c r="I32" s="6"/>
      <c r="J32" s="6"/>
      <c r="M32" s="17"/>
      <c r="N32" t="s">
        <v>138</v>
      </c>
      <c r="O32">
        <v>0.05781</v>
      </c>
      <c r="S32" s="50" t="s">
        <v>111</v>
      </c>
      <c r="T32" s="50" t="s">
        <v>106</v>
      </c>
      <c r="U32" s="52">
        <f>Y32-$G$46</f>
        <v>4.630240538901285</v>
      </c>
      <c r="V32" s="50">
        <f>V25+(Z25-V25)/2-$G$45/2</f>
        <v>2.976603990684915</v>
      </c>
      <c r="W32" s="50" t="s">
        <v>107</v>
      </c>
      <c r="X32" s="50" t="s">
        <v>106</v>
      </c>
      <c r="Y32" s="50">
        <f>Y25</f>
        <v>5.908428427939486</v>
      </c>
      <c r="Z32" s="50">
        <f>V25+(Z25-V25)/2+$G$45/2</f>
        <v>3.0389894718038444</v>
      </c>
      <c r="AA32" s="50" t="s">
        <v>112</v>
      </c>
    </row>
    <row r="33" ht="12.75">
      <c r="M33" s="17"/>
    </row>
    <row r="34" spans="1:18" ht="12.75">
      <c r="A34" s="4" t="s">
        <v>37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0"/>
      <c r="N34" s="4"/>
      <c r="O34" s="4"/>
      <c r="P34" s="4"/>
      <c r="R34" s="50" t="s">
        <v>116</v>
      </c>
    </row>
    <row r="35" spans="1:13" ht="12.75">
      <c r="A35" s="6"/>
      <c r="B35" s="6"/>
      <c r="C35" s="6"/>
      <c r="D35" s="6"/>
      <c r="E35" s="6"/>
      <c r="F35" s="6"/>
      <c r="G35" s="6"/>
      <c r="H35" s="6"/>
      <c r="I35" s="6"/>
      <c r="M35" s="17"/>
    </row>
    <row r="36" spans="1:27" ht="12.75">
      <c r="A36" s="6"/>
      <c r="B36" s="27" t="s">
        <v>65</v>
      </c>
      <c r="C36" s="27" t="s">
        <v>1</v>
      </c>
      <c r="D36" s="27" t="s">
        <v>54</v>
      </c>
      <c r="E36" s="27"/>
      <c r="F36" s="27" t="s">
        <v>1</v>
      </c>
      <c r="G36" s="24">
        <f>G57/0.0254</f>
        <v>0.21029339097336838</v>
      </c>
      <c r="H36" s="22" t="s">
        <v>22</v>
      </c>
      <c r="I36" s="33">
        <f>G36*25.4</f>
        <v>5.341452130723557</v>
      </c>
      <c r="J36" s="29" t="s">
        <v>41</v>
      </c>
      <c r="K36" s="28">
        <f>G36*2.54</f>
        <v>0.5341452130723557</v>
      </c>
      <c r="L36" s="29" t="s">
        <v>40</v>
      </c>
      <c r="M36" s="25">
        <f>G36*0.0254</f>
        <v>0.005341452130723557</v>
      </c>
      <c r="N36" s="29" t="s">
        <v>15</v>
      </c>
      <c r="S36" s="50" t="s">
        <v>111</v>
      </c>
      <c r="T36" s="50" t="s">
        <v>106</v>
      </c>
      <c r="U36" s="52">
        <f>Y29</f>
        <v>-4.630240538901285</v>
      </c>
      <c r="V36" s="50">
        <f>V22+(Z22-V22)/2-$G$37/2</f>
        <v>2.9774977218149314</v>
      </c>
      <c r="W36" s="50" t="s">
        <v>107</v>
      </c>
      <c r="X36" s="50" t="s">
        <v>106</v>
      </c>
      <c r="Y36" s="52">
        <f>U30</f>
        <v>-3.8520596257911563</v>
      </c>
      <c r="Z36" s="50">
        <f>V22+(Z22-V22)/2+$G$37/2</f>
        <v>3.038095740673828</v>
      </c>
      <c r="AA36" s="50" t="s">
        <v>112</v>
      </c>
    </row>
    <row r="37" spans="2:41" s="6" customFormat="1" ht="12.75">
      <c r="B37" s="27" t="s">
        <v>72</v>
      </c>
      <c r="C37" s="27" t="s">
        <v>1</v>
      </c>
      <c r="D37" s="27" t="s">
        <v>57</v>
      </c>
      <c r="E37" s="27"/>
      <c r="F37" s="27" t="s">
        <v>1</v>
      </c>
      <c r="G37" s="24">
        <f>G67/0.0254</f>
        <v>0.06059801885889596</v>
      </c>
      <c r="H37" s="22" t="s">
        <v>22</v>
      </c>
      <c r="I37" s="33">
        <f>G37*25.4</f>
        <v>1.5391896790159572</v>
      </c>
      <c r="J37" s="29" t="s">
        <v>41</v>
      </c>
      <c r="K37" s="28">
        <f>G37*2.54</f>
        <v>0.15391896790159573</v>
      </c>
      <c r="L37" s="29" t="s">
        <v>40</v>
      </c>
      <c r="M37" s="25">
        <f>G37*0.0254</f>
        <v>0.0015391896790159572</v>
      </c>
      <c r="N37" s="29" t="s">
        <v>15</v>
      </c>
      <c r="S37" s="50" t="s">
        <v>111</v>
      </c>
      <c r="T37" s="50" t="s">
        <v>106</v>
      </c>
      <c r="U37" s="52">
        <f>Y31</f>
        <v>3.8520596257911563</v>
      </c>
      <c r="V37" s="50">
        <f>V23+(Z23-V23)/2-$G$37/2</f>
        <v>2.9774977218149314</v>
      </c>
      <c r="W37" s="50" t="s">
        <v>107</v>
      </c>
      <c r="X37" s="50" t="s">
        <v>106</v>
      </c>
      <c r="Y37" s="52">
        <f>U32</f>
        <v>4.630240538901285</v>
      </c>
      <c r="Z37" s="50">
        <f>V23+(Z23-V23)/2+$G$37/2</f>
        <v>3.038095740673828</v>
      </c>
      <c r="AA37" s="50" t="s">
        <v>112</v>
      </c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</row>
    <row r="38" spans="2:41" s="6" customFormat="1" ht="12.75">
      <c r="B38" s="27" t="s">
        <v>68</v>
      </c>
      <c r="C38" s="27" t="s">
        <v>1</v>
      </c>
      <c r="D38" s="27" t="s">
        <v>69</v>
      </c>
      <c r="E38" s="27"/>
      <c r="F38" s="27" t="s">
        <v>1</v>
      </c>
      <c r="G38" s="24">
        <f>G74/0.0254</f>
        <v>0.06420623902478044</v>
      </c>
      <c r="H38" s="22" t="s">
        <v>22</v>
      </c>
      <c r="I38" s="33">
        <f>G38*25.4</f>
        <v>1.630838471229423</v>
      </c>
      <c r="J38" s="29" t="s">
        <v>41</v>
      </c>
      <c r="K38" s="28">
        <f>G38*2.54</f>
        <v>0.16308384712294233</v>
      </c>
      <c r="L38" s="29" t="s">
        <v>40</v>
      </c>
      <c r="M38" s="25">
        <f>G38*0.0254</f>
        <v>0.001630838471229423</v>
      </c>
      <c r="N38" s="29" t="s">
        <v>15</v>
      </c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</row>
    <row r="39" spans="1:18" ht="12.75">
      <c r="A39" s="6"/>
      <c r="B39" s="6"/>
      <c r="C39" s="6"/>
      <c r="D39" s="6"/>
      <c r="E39" s="6"/>
      <c r="F39" s="6"/>
      <c r="G39" s="6"/>
      <c r="H39" s="6"/>
      <c r="I39" s="41"/>
      <c r="K39" s="14"/>
      <c r="M39" s="10"/>
      <c r="R39" s="50" t="s">
        <v>117</v>
      </c>
    </row>
    <row r="40" spans="1:13" ht="12.75">
      <c r="A40" s="6"/>
      <c r="B40" s="27" t="s">
        <v>55</v>
      </c>
      <c r="C40" s="27" t="s">
        <v>1</v>
      </c>
      <c r="D40" s="27" t="s">
        <v>60</v>
      </c>
      <c r="E40" s="27"/>
      <c r="F40" s="27" t="s">
        <v>1</v>
      </c>
      <c r="G40" s="26">
        <f>G78</f>
        <v>70.71067811865476</v>
      </c>
      <c r="H40" s="27" t="s">
        <v>71</v>
      </c>
      <c r="I40" s="41"/>
      <c r="K40" s="14"/>
      <c r="M40" s="10"/>
    </row>
    <row r="41" spans="1:27" ht="12.75">
      <c r="A41" s="6"/>
      <c r="B41" s="27" t="s">
        <v>64</v>
      </c>
      <c r="C41" s="27" t="s">
        <v>1</v>
      </c>
      <c r="D41" s="27" t="s">
        <v>59</v>
      </c>
      <c r="E41" s="27"/>
      <c r="F41" s="27" t="s">
        <v>1</v>
      </c>
      <c r="G41" s="24">
        <f>G83/0.0254</f>
        <v>0.12019920435465101</v>
      </c>
      <c r="H41" s="22" t="s">
        <v>22</v>
      </c>
      <c r="I41" s="33">
        <f>G41*25.4</f>
        <v>3.0530597906081356</v>
      </c>
      <c r="J41" s="29" t="s">
        <v>41</v>
      </c>
      <c r="K41" s="28">
        <f>G41*2.54</f>
        <v>0.3053059790608136</v>
      </c>
      <c r="L41" s="29" t="s">
        <v>40</v>
      </c>
      <c r="M41" s="25">
        <f>G41*0.0254</f>
        <v>0.0030530597906081353</v>
      </c>
      <c r="N41" s="29" t="s">
        <v>15</v>
      </c>
      <c r="S41" s="50" t="s">
        <v>111</v>
      </c>
      <c r="T41" s="50" t="s">
        <v>106</v>
      </c>
      <c r="U41" s="52">
        <f>-$G$30/4-$G$36/2</f>
        <v>-4.3462967778329045</v>
      </c>
      <c r="V41" s="50">
        <f>Z36</f>
        <v>3.038095740673828</v>
      </c>
      <c r="W41" s="50" t="s">
        <v>107</v>
      </c>
      <c r="X41" s="50" t="s">
        <v>106</v>
      </c>
      <c r="Y41" s="52">
        <f>-$G$30/4+$G$36/2</f>
        <v>-4.136003386859537</v>
      </c>
      <c r="Z41" s="50">
        <f>Z23+5*$O$19</f>
        <v>3.38989985075677</v>
      </c>
      <c r="AA41" s="50" t="s">
        <v>112</v>
      </c>
    </row>
    <row r="42" spans="2:41" s="6" customFormat="1" ht="12.75">
      <c r="B42" s="27" t="s">
        <v>61</v>
      </c>
      <c r="C42" s="27" t="s">
        <v>1</v>
      </c>
      <c r="D42" s="27" t="s">
        <v>56</v>
      </c>
      <c r="E42" s="27"/>
      <c r="F42" s="27" t="s">
        <v>1</v>
      </c>
      <c r="G42" s="24">
        <f>G86/0.0254</f>
        <v>1.2891814806265338</v>
      </c>
      <c r="H42" s="22" t="s">
        <v>22</v>
      </c>
      <c r="I42" s="33">
        <f>G42*25.4</f>
        <v>32.74520960791396</v>
      </c>
      <c r="J42" s="29" t="s">
        <v>41</v>
      </c>
      <c r="K42" s="28">
        <f>G42*2.54</f>
        <v>3.274520960791396</v>
      </c>
      <c r="L42" s="29" t="s">
        <v>40</v>
      </c>
      <c r="M42" s="25">
        <f>G42*0.0254</f>
        <v>0.03274520960791396</v>
      </c>
      <c r="N42" s="29" t="s">
        <v>15</v>
      </c>
      <c r="S42" s="50" t="s">
        <v>111</v>
      </c>
      <c r="T42" s="50" t="s">
        <v>106</v>
      </c>
      <c r="U42" s="52">
        <f>$G$30/4-$G$36/2</f>
        <v>4.136003386859537</v>
      </c>
      <c r="V42" s="50">
        <f>Z37</f>
        <v>3.038095740673828</v>
      </c>
      <c r="W42" s="50" t="s">
        <v>107</v>
      </c>
      <c r="X42" s="50" t="s">
        <v>106</v>
      </c>
      <c r="Y42" s="52">
        <f>$G$30/4+$G$36/2</f>
        <v>4.3462967778329045</v>
      </c>
      <c r="Z42" s="50">
        <f>Z24+5*$O$19</f>
        <v>3.38989985075677</v>
      </c>
      <c r="AA42" s="50" t="s">
        <v>112</v>
      </c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</row>
    <row r="43" spans="9:41" s="6" customFormat="1" ht="12.75">
      <c r="I43" s="41"/>
      <c r="K43" s="15"/>
      <c r="M43" s="1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</row>
    <row r="44" spans="2:41" s="6" customFormat="1" ht="12.75">
      <c r="B44" s="27" t="s">
        <v>58</v>
      </c>
      <c r="C44" s="27" t="s">
        <v>1</v>
      </c>
      <c r="D44" s="27" t="s">
        <v>66</v>
      </c>
      <c r="E44" s="27"/>
      <c r="F44" s="27" t="s">
        <v>1</v>
      </c>
      <c r="G44" s="23">
        <f>G90</f>
        <v>98.70107639907052</v>
      </c>
      <c r="H44" s="22" t="s">
        <v>71</v>
      </c>
      <c r="I44" s="41"/>
      <c r="K44" s="15"/>
      <c r="M44" s="12"/>
      <c r="R44" s="50" t="s">
        <v>118</v>
      </c>
      <c r="T44" s="50"/>
      <c r="U44" s="50"/>
      <c r="V44" s="50"/>
      <c r="W44" s="50"/>
      <c r="X44" s="50"/>
      <c r="Y44" s="50"/>
      <c r="Z44" s="50"/>
      <c r="AA44" s="50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pans="2:41" s="6" customFormat="1" ht="12.75">
      <c r="B45" s="27" t="s">
        <v>63</v>
      </c>
      <c r="C45" s="27" t="s">
        <v>1</v>
      </c>
      <c r="D45" s="27" t="s">
        <v>67</v>
      </c>
      <c r="E45" s="27"/>
      <c r="F45" s="27" t="s">
        <v>1</v>
      </c>
      <c r="G45" s="24">
        <f>G95/0.0254</f>
        <v>0.06238548111892908</v>
      </c>
      <c r="H45" s="22" t="s">
        <v>22</v>
      </c>
      <c r="I45" s="33">
        <f>G45*25.4</f>
        <v>1.5845912204207986</v>
      </c>
      <c r="J45" s="29" t="s">
        <v>41</v>
      </c>
      <c r="K45" s="28">
        <f>G45*2.54</f>
        <v>0.15845912204207988</v>
      </c>
      <c r="L45" s="29" t="s">
        <v>40</v>
      </c>
      <c r="M45" s="25">
        <f>G45*0.0254</f>
        <v>0.0015845912204207986</v>
      </c>
      <c r="N45" s="29" t="s">
        <v>15</v>
      </c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</row>
    <row r="46" spans="2:41" s="6" customFormat="1" ht="12.75">
      <c r="B46" s="27" t="s">
        <v>62</v>
      </c>
      <c r="C46" s="27" t="s">
        <v>1</v>
      </c>
      <c r="D46" s="27" t="s">
        <v>56</v>
      </c>
      <c r="E46" s="27"/>
      <c r="F46" s="27" t="s">
        <v>1</v>
      </c>
      <c r="G46" s="24">
        <f>G98/0.0254</f>
        <v>1.2781878890382012</v>
      </c>
      <c r="H46" s="22" t="s">
        <v>22</v>
      </c>
      <c r="I46" s="33">
        <f>G46*25.4</f>
        <v>32.46597238157031</v>
      </c>
      <c r="J46" s="29" t="s">
        <v>41</v>
      </c>
      <c r="K46" s="28">
        <f>G46*2.54</f>
        <v>3.2465972381570314</v>
      </c>
      <c r="L46" s="29" t="s">
        <v>40</v>
      </c>
      <c r="M46" s="25">
        <f>G46*0.0254</f>
        <v>0.03246597238157031</v>
      </c>
      <c r="N46" s="29" t="s">
        <v>15</v>
      </c>
      <c r="S46" s="50" t="s">
        <v>111</v>
      </c>
      <c r="T46" s="50" t="s">
        <v>106</v>
      </c>
      <c r="U46" s="52">
        <f>Y41</f>
        <v>-4.136003386859537</v>
      </c>
      <c r="V46" s="50">
        <f>Z41</f>
        <v>3.38989985075677</v>
      </c>
      <c r="W46" s="50" t="s">
        <v>107</v>
      </c>
      <c r="X46" s="50" t="s">
        <v>106</v>
      </c>
      <c r="Y46" s="52">
        <f>U46+((U42-Y41)-2*$G$46)/3</f>
        <v>-2.2307930549786468</v>
      </c>
      <c r="Z46" s="52">
        <f>V46+$G$36</f>
        <v>3.6001932417301385</v>
      </c>
      <c r="AA46" s="50" t="s">
        <v>112</v>
      </c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</row>
    <row r="47" spans="19:41" s="6" customFormat="1" ht="12.75">
      <c r="S47" s="50" t="s">
        <v>111</v>
      </c>
      <c r="T47" s="50" t="s">
        <v>106</v>
      </c>
      <c r="U47" s="52">
        <f>U42</f>
        <v>4.136003386859537</v>
      </c>
      <c r="V47" s="50">
        <f>Z42</f>
        <v>3.38989985075677</v>
      </c>
      <c r="W47" s="50" t="s">
        <v>107</v>
      </c>
      <c r="X47" s="50" t="s">
        <v>106</v>
      </c>
      <c r="Y47" s="52">
        <f>U47-((U42-Y41)-2*$G$46)/3</f>
        <v>2.2307930549786468</v>
      </c>
      <c r="Z47" s="52">
        <f>V47+$G$36</f>
        <v>3.6001932417301385</v>
      </c>
      <c r="AA47" s="50" t="s">
        <v>112</v>
      </c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</row>
    <row r="48" spans="1:41" s="6" customFormat="1" ht="12.75">
      <c r="A48" s="4" t="s">
        <v>70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</row>
    <row r="49" spans="18:41" s="6" customFormat="1" ht="12.75">
      <c r="R49" s="51" t="s">
        <v>119</v>
      </c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</row>
    <row r="50" ht="12.75">
      <c r="A50" s="5" t="s">
        <v>73</v>
      </c>
    </row>
    <row r="51" spans="19:27" ht="12.75">
      <c r="S51" s="50" t="s">
        <v>111</v>
      </c>
      <c r="T51" s="50" t="s">
        <v>106</v>
      </c>
      <c r="U51" s="52">
        <f>Y46</f>
        <v>-2.2307930549786468</v>
      </c>
      <c r="V51" s="50">
        <f>Z46+(V46-Z46)/2-$G$41/2</f>
        <v>3.434946944066129</v>
      </c>
      <c r="W51" s="50" t="s">
        <v>107</v>
      </c>
      <c r="X51" s="50" t="s">
        <v>106</v>
      </c>
      <c r="Y51" s="52">
        <f>U51+$G$42</f>
        <v>-0.941611574352113</v>
      </c>
      <c r="Z51" s="52">
        <f>V51+$G$41</f>
        <v>3.55514614842078</v>
      </c>
      <c r="AA51" s="50" t="s">
        <v>112</v>
      </c>
    </row>
    <row r="52" spans="2:27" ht="12.75">
      <c r="B52" t="s">
        <v>27</v>
      </c>
      <c r="C52" t="s">
        <v>1</v>
      </c>
      <c r="D52" t="s">
        <v>29</v>
      </c>
      <c r="F52" t="s">
        <v>1</v>
      </c>
      <c r="G52">
        <v>50</v>
      </c>
      <c r="H52" t="s">
        <v>10</v>
      </c>
      <c r="S52" s="50" t="s">
        <v>111</v>
      </c>
      <c r="T52" s="50" t="s">
        <v>106</v>
      </c>
      <c r="U52" s="52">
        <f>Y47</f>
        <v>2.2307930549786468</v>
      </c>
      <c r="V52" s="50">
        <f>Z47+(V47-Z47)/2-$G$41/2</f>
        <v>3.434946944066129</v>
      </c>
      <c r="W52" s="50" t="s">
        <v>107</v>
      </c>
      <c r="X52" s="50" t="s">
        <v>106</v>
      </c>
      <c r="Y52" s="52">
        <f>U52-$G$42</f>
        <v>0.941611574352113</v>
      </c>
      <c r="Z52" s="52">
        <f>V52+$G$41</f>
        <v>3.55514614842078</v>
      </c>
      <c r="AA52" s="50" t="s">
        <v>112</v>
      </c>
    </row>
    <row r="54" spans="2:18" ht="12.75">
      <c r="B54" t="s">
        <v>16</v>
      </c>
      <c r="C54" t="s">
        <v>1</v>
      </c>
      <c r="D54" t="s">
        <v>17</v>
      </c>
      <c r="F54" t="s">
        <v>1</v>
      </c>
      <c r="G54" s="14">
        <f>377*PI()/(2*G52*SQRT($G$13))</f>
        <v>7.8281446171196425</v>
      </c>
      <c r="I54" t="s">
        <v>52</v>
      </c>
      <c r="K54">
        <f>2/PI()*(G54-1-LN(2*G54-1)+(($G$13-1)/(2*$G$13)*(LN(G54-1)+0.39-0.61/$G$13)))</f>
        <v>3.0041912996195483</v>
      </c>
      <c r="R54" s="50" t="s">
        <v>116</v>
      </c>
    </row>
    <row r="55" spans="2:11" ht="12.75">
      <c r="B55" t="s">
        <v>23</v>
      </c>
      <c r="C55" t="s">
        <v>1</v>
      </c>
      <c r="D55" t="s">
        <v>19</v>
      </c>
      <c r="F55" t="s">
        <v>1</v>
      </c>
      <c r="G55" s="14">
        <f>G52/60*SQRT(($G$13+1)/2)+($G$13-1)/($G$13+1)*(0.23+0.11/$G$13)</f>
        <v>1.1776446351690886</v>
      </c>
      <c r="I55" t="s">
        <v>53</v>
      </c>
      <c r="K55">
        <f>8*EXP(G55)/(EXP(2*G55)-2)</f>
        <v>3.0410026435598763</v>
      </c>
    </row>
    <row r="56" spans="19:27" ht="12.75">
      <c r="S56" s="50" t="s">
        <v>111</v>
      </c>
      <c r="T56" s="50" t="s">
        <v>106</v>
      </c>
      <c r="U56" s="52">
        <f>Y51</f>
        <v>-0.941611574352113</v>
      </c>
      <c r="V56" s="50">
        <f>V51+(Z51-V51)/2-$G$37/2</f>
        <v>3.464747536814006</v>
      </c>
      <c r="W56" s="50" t="s">
        <v>107</v>
      </c>
      <c r="X56" s="50" t="s">
        <v>106</v>
      </c>
      <c r="Y56" s="52">
        <f>Y52</f>
        <v>0.941611574352113</v>
      </c>
      <c r="Z56" s="50">
        <f>V51+(Z51-V51)/2+$G$37/2</f>
        <v>3.5253455556729025</v>
      </c>
      <c r="AA56" s="50" t="s">
        <v>112</v>
      </c>
    </row>
    <row r="57" spans="2:8" ht="12.75">
      <c r="B57" t="s">
        <v>65</v>
      </c>
      <c r="C57" t="s">
        <v>1</v>
      </c>
      <c r="D57" t="s">
        <v>77</v>
      </c>
      <c r="F57" t="s">
        <v>1</v>
      </c>
      <c r="G57" s="10">
        <f>IF(AND(K54&gt;2,K55&gt;2),K54*$G$19,K55*$G$19)</f>
        <v>0.005341452130723557</v>
      </c>
      <c r="H57" t="s">
        <v>15</v>
      </c>
    </row>
    <row r="58" ht="12.75">
      <c r="R58" s="50" t="s">
        <v>121</v>
      </c>
    </row>
    <row r="59" ht="12.75">
      <c r="A59" s="5" t="s">
        <v>74</v>
      </c>
    </row>
    <row r="60" spans="19:25" ht="12.75">
      <c r="S60" s="50" t="s">
        <v>120</v>
      </c>
      <c r="T60" s="50">
        <v>0.042</v>
      </c>
      <c r="U60" s="50" t="s">
        <v>122</v>
      </c>
      <c r="V60" s="50" t="s">
        <v>106</v>
      </c>
      <c r="W60" s="50">
        <v>0</v>
      </c>
      <c r="X60" s="50">
        <f>V56+(Z56-V56)/2</f>
        <v>3.4950465462434543</v>
      </c>
      <c r="Y60" s="50" t="s">
        <v>112</v>
      </c>
    </row>
    <row r="61" spans="2:8" ht="12.75">
      <c r="B61" t="s">
        <v>28</v>
      </c>
      <c r="C61" t="s">
        <v>1</v>
      </c>
      <c r="D61" t="s">
        <v>29</v>
      </c>
      <c r="F61" t="s">
        <v>1</v>
      </c>
      <c r="G61">
        <v>100</v>
      </c>
      <c r="H61" t="s">
        <v>10</v>
      </c>
    </row>
    <row r="62" ht="12.75">
      <c r="R62" t="s">
        <v>123</v>
      </c>
    </row>
    <row r="63" spans="1:11" ht="12.75">
      <c r="A63" s="7"/>
      <c r="B63" t="s">
        <v>16</v>
      </c>
      <c r="C63" t="s">
        <v>1</v>
      </c>
      <c r="D63" t="s">
        <v>17</v>
      </c>
      <c r="F63" t="s">
        <v>1</v>
      </c>
      <c r="G63" s="14">
        <f>377*PI()/(2*G61*SQRT($G$13))</f>
        <v>3.9140723085598212</v>
      </c>
      <c r="I63" t="s">
        <v>52</v>
      </c>
      <c r="K63">
        <f>2/PI()*(G63-1-LN(2*G63-1)+(($G$13-1)/(2*$G$13)*(LN(G63-1)+0.39-0.61/$G$13)))</f>
        <v>0.8460400627717087</v>
      </c>
    </row>
    <row r="64" spans="1:27" ht="12.75">
      <c r="A64" s="7"/>
      <c r="G64" s="14"/>
      <c r="S64" s="50" t="s">
        <v>111</v>
      </c>
      <c r="T64" s="50" t="s">
        <v>106</v>
      </c>
      <c r="U64" s="50">
        <f>U22</f>
        <v>-6.329622004006941</v>
      </c>
      <c r="V64" s="52">
        <f>V22</f>
        <v>2.9756936117319897</v>
      </c>
      <c r="W64" s="50" t="s">
        <v>107</v>
      </c>
      <c r="X64" s="50" t="s">
        <v>106</v>
      </c>
      <c r="Y64" s="50">
        <f>U64-$G$38/4</f>
        <v>-6.345673563763136</v>
      </c>
      <c r="Z64" s="50">
        <f>V64+$G$38/4</f>
        <v>2.991745171488185</v>
      </c>
      <c r="AA64" s="50" t="s">
        <v>112</v>
      </c>
    </row>
    <row r="65" spans="2:28" ht="12.75">
      <c r="B65" t="s">
        <v>23</v>
      </c>
      <c r="C65" t="s">
        <v>1</v>
      </c>
      <c r="D65" t="s">
        <v>19</v>
      </c>
      <c r="F65" t="s">
        <v>1</v>
      </c>
      <c r="G65" s="14">
        <f>G61/60*SQRT(($G$13+1)/2)+($G$13-1)/($G$13+1)*(0.23+0.11/$G$13)</f>
        <v>2.2463113798145424</v>
      </c>
      <c r="I65" t="s">
        <v>53</v>
      </c>
      <c r="K65">
        <f>8*EXP(G65)/(EXP(2*G65)-2)</f>
        <v>0.8656859836985136</v>
      </c>
      <c r="S65" s="50" t="s">
        <v>105</v>
      </c>
      <c r="T65" s="50">
        <v>0.05</v>
      </c>
      <c r="U65" s="50" t="s">
        <v>106</v>
      </c>
      <c r="V65" s="50">
        <f>U15+T65/2</f>
        <v>-6.368828243031722</v>
      </c>
      <c r="W65" s="50">
        <f>Z15-0.2*T65</f>
        <v>2.96569361173199</v>
      </c>
      <c r="X65" s="50" t="s">
        <v>107</v>
      </c>
      <c r="Y65" s="50" t="s">
        <v>106</v>
      </c>
      <c r="Z65" s="50">
        <f>U22+0.2*T65</f>
        <v>-6.319622004006941</v>
      </c>
      <c r="AA65" s="50">
        <f>Z22-T65/2</f>
        <v>3.01489985075677</v>
      </c>
      <c r="AB65" s="50" t="s">
        <v>112</v>
      </c>
    </row>
    <row r="66" spans="19:28" ht="12.75">
      <c r="S66" s="50" t="s">
        <v>105</v>
      </c>
      <c r="T66" s="50">
        <v>0.05</v>
      </c>
      <c r="U66" s="50" t="s">
        <v>106</v>
      </c>
      <c r="V66" s="50">
        <f>V65+T66</f>
        <v>-6.318828243031722</v>
      </c>
      <c r="W66" s="50">
        <f>W65</f>
        <v>2.96569361173199</v>
      </c>
      <c r="X66" s="50" t="s">
        <v>107</v>
      </c>
      <c r="Y66" s="50" t="s">
        <v>106</v>
      </c>
      <c r="Z66" s="50">
        <f>Z65+T66</f>
        <v>-6.2696220040069415</v>
      </c>
      <c r="AA66" s="50">
        <f>AA65</f>
        <v>3.01489985075677</v>
      </c>
      <c r="AB66" s="50" t="s">
        <v>112</v>
      </c>
    </row>
    <row r="67" spans="2:28" ht="12.75">
      <c r="B67" t="s">
        <v>72</v>
      </c>
      <c r="C67" t="s">
        <v>1</v>
      </c>
      <c r="D67" t="s">
        <v>78</v>
      </c>
      <c r="F67" t="s">
        <v>1</v>
      </c>
      <c r="G67" s="10">
        <f>IF(AND(K63&gt;2,K65&gt;2),K63*$G$19,K65*$G$19)</f>
        <v>0.0015391896790159572</v>
      </c>
      <c r="H67" t="s">
        <v>15</v>
      </c>
      <c r="S67" s="50" t="s">
        <v>105</v>
      </c>
      <c r="T67" s="50">
        <v>0.05</v>
      </c>
      <c r="U67" s="50" t="s">
        <v>106</v>
      </c>
      <c r="V67" s="50">
        <f>V66+T67</f>
        <v>-6.268828243031722</v>
      </c>
      <c r="W67" s="50">
        <f>W66</f>
        <v>2.96569361173199</v>
      </c>
      <c r="X67" s="50" t="s">
        <v>107</v>
      </c>
      <c r="Y67" s="50" t="s">
        <v>106</v>
      </c>
      <c r="Z67" s="50">
        <f>Z66+T67</f>
        <v>-6.219622004006942</v>
      </c>
      <c r="AA67" s="50">
        <f>AA66</f>
        <v>3.01489985075677</v>
      </c>
      <c r="AB67" s="50" t="s">
        <v>112</v>
      </c>
    </row>
    <row r="69" spans="1:18" ht="12.75">
      <c r="A69" s="5" t="s">
        <v>75</v>
      </c>
      <c r="G69" s="3"/>
      <c r="H69" s="3"/>
      <c r="R69" t="s">
        <v>124</v>
      </c>
    </row>
    <row r="70" spans="7:27" ht="12.75">
      <c r="G70" s="3"/>
      <c r="H70" s="3"/>
      <c r="S70" s="50" t="s">
        <v>111</v>
      </c>
      <c r="T70" s="50" t="s">
        <v>106</v>
      </c>
      <c r="U70" s="50">
        <f>U23</f>
        <v>-2.1526781606855008</v>
      </c>
      <c r="V70" s="52">
        <f>V23</f>
        <v>2.9756936117319897</v>
      </c>
      <c r="W70" s="50" t="s">
        <v>107</v>
      </c>
      <c r="X70" s="50" t="s">
        <v>106</v>
      </c>
      <c r="Y70" s="50">
        <f>U70+$G$38/4</f>
        <v>-2.1366266009293056</v>
      </c>
      <c r="Z70" s="50">
        <f>V70+$G$38/4</f>
        <v>2.991745171488185</v>
      </c>
      <c r="AA70" s="50" t="s">
        <v>112</v>
      </c>
    </row>
    <row r="71" spans="2:28" ht="12.75">
      <c r="B71" t="s">
        <v>16</v>
      </c>
      <c r="C71" t="s">
        <v>1</v>
      </c>
      <c r="D71" t="s">
        <v>17</v>
      </c>
      <c r="F71" t="s">
        <v>1</v>
      </c>
      <c r="G71" s="14">
        <f>377*PI()/(2*$G$32*SQRT($G$13))</f>
        <v>4.017769953720179</v>
      </c>
      <c r="I71" t="s">
        <v>52</v>
      </c>
      <c r="K71">
        <f>2/PI()*(G71-1-LN(2*G71-1)+(($G$13-1)/(2*$G$13)*(LN(G71-1)+0.39-0.61/$G$13)))</f>
        <v>0.899275397948554</v>
      </c>
      <c r="S71" s="50" t="s">
        <v>105</v>
      </c>
      <c r="T71" s="50">
        <v>0.05</v>
      </c>
      <c r="U71" s="50" t="s">
        <v>106</v>
      </c>
      <c r="V71" s="50">
        <f>U16-T71*0.2</f>
        <v>-2.1626781606855006</v>
      </c>
      <c r="W71" s="50">
        <f>Z23-0.5*T71</f>
        <v>3.01489985075677</v>
      </c>
      <c r="X71" s="50" t="s">
        <v>107</v>
      </c>
      <c r="Y71" s="50" t="s">
        <v>106</v>
      </c>
      <c r="Z71" s="50">
        <f>Y16-T71/2</f>
        <v>-2.11347192166072</v>
      </c>
      <c r="AA71" s="50">
        <f>Z16-T71*0.2</f>
        <v>2.96569361173199</v>
      </c>
      <c r="AB71" s="50" t="s">
        <v>112</v>
      </c>
    </row>
    <row r="72" spans="2:28" ht="12.75">
      <c r="B72" t="s">
        <v>18</v>
      </c>
      <c r="C72" t="s">
        <v>1</v>
      </c>
      <c r="D72" t="s">
        <v>19</v>
      </c>
      <c r="F72" t="s">
        <v>1</v>
      </c>
      <c r="G72" s="14">
        <f>$G$32/60*SQRT(($G$13+1)/2)+($G$13-1)/($G$13+1)*(0.23+0.11/$G$13)</f>
        <v>2.1911473330137503</v>
      </c>
      <c r="I72" t="s">
        <v>53</v>
      </c>
      <c r="K72">
        <f>8*EXP(G72)/(EXP(2*G72)-2)</f>
        <v>0.9172319860682918</v>
      </c>
      <c r="S72" s="50" t="s">
        <v>105</v>
      </c>
      <c r="T72" s="50">
        <v>0.05</v>
      </c>
      <c r="U72" s="50" t="s">
        <v>106</v>
      </c>
      <c r="V72" s="50">
        <f>V71-T72</f>
        <v>-2.2126781606855004</v>
      </c>
      <c r="W72" s="50">
        <f>W71</f>
        <v>3.01489985075677</v>
      </c>
      <c r="X72" s="50" t="s">
        <v>107</v>
      </c>
      <c r="Y72" s="50" t="s">
        <v>106</v>
      </c>
      <c r="Z72" s="50">
        <f>Z71-T72</f>
        <v>-2.1634719216607197</v>
      </c>
      <c r="AA72" s="50">
        <f>AA71</f>
        <v>2.96569361173199</v>
      </c>
      <c r="AB72" s="50" t="s">
        <v>112</v>
      </c>
    </row>
    <row r="73" spans="19:28" ht="12.75">
      <c r="S73" s="50" t="s">
        <v>105</v>
      </c>
      <c r="T73" s="50">
        <v>0.05</v>
      </c>
      <c r="U73" s="50" t="s">
        <v>106</v>
      </c>
      <c r="V73" s="50">
        <f>V72-T73</f>
        <v>-2.2626781606855</v>
      </c>
      <c r="W73" s="50">
        <f>W72</f>
        <v>3.01489985075677</v>
      </c>
      <c r="X73" s="50" t="s">
        <v>107</v>
      </c>
      <c r="Y73" s="50" t="s">
        <v>106</v>
      </c>
      <c r="Z73" s="50">
        <f>Z72-T73</f>
        <v>-2.2134719216607195</v>
      </c>
      <c r="AA73" s="50">
        <f>AA72</f>
        <v>2.96569361173199</v>
      </c>
      <c r="AB73" s="50" t="s">
        <v>112</v>
      </c>
    </row>
    <row r="74" spans="2:8" ht="12.75">
      <c r="B74" t="s">
        <v>68</v>
      </c>
      <c r="C74" t="s">
        <v>1</v>
      </c>
      <c r="D74" t="s">
        <v>79</v>
      </c>
      <c r="F74" t="s">
        <v>1</v>
      </c>
      <c r="G74" s="10">
        <f>IF(AND(K71&gt;2,K72&gt;2),K71*$G$19,K72*$G$19)</f>
        <v>0.001630838471229423</v>
      </c>
      <c r="H74" t="s">
        <v>15</v>
      </c>
    </row>
    <row r="75" ht="12.75">
      <c r="R75" t="s">
        <v>125</v>
      </c>
    </row>
    <row r="76" ht="12.75">
      <c r="A76" s="5" t="s">
        <v>76</v>
      </c>
    </row>
    <row r="77" spans="19:27" ht="12.75">
      <c r="S77" s="50" t="s">
        <v>111</v>
      </c>
      <c r="T77" s="50" t="s">
        <v>106</v>
      </c>
      <c r="U77" s="50">
        <f>U24</f>
        <v>2.1526781606855008</v>
      </c>
      <c r="V77" s="52">
        <f>V24</f>
        <v>2.9756936117319897</v>
      </c>
      <c r="W77" s="50" t="s">
        <v>107</v>
      </c>
      <c r="X77" s="50" t="s">
        <v>106</v>
      </c>
      <c r="Y77" s="50">
        <f>U77-$G$38/4</f>
        <v>2.1366266009293056</v>
      </c>
      <c r="Z77" s="50">
        <f>V77+$G$38/4</f>
        <v>2.991745171488185</v>
      </c>
      <c r="AA77" s="50" t="s">
        <v>112</v>
      </c>
    </row>
    <row r="78" spans="2:28" ht="12.75">
      <c r="B78" t="s">
        <v>55</v>
      </c>
      <c r="C78" t="s">
        <v>1</v>
      </c>
      <c r="D78" t="s">
        <v>80</v>
      </c>
      <c r="F78" t="s">
        <v>1</v>
      </c>
      <c r="G78" s="14">
        <f>SQRT(100*50)</f>
        <v>70.71067811865476</v>
      </c>
      <c r="H78" t="s">
        <v>10</v>
      </c>
      <c r="S78" s="50" t="s">
        <v>105</v>
      </c>
      <c r="T78" s="50">
        <v>0.05</v>
      </c>
      <c r="U78" s="50" t="s">
        <v>106</v>
      </c>
      <c r="V78" s="50">
        <f>U17+T78/2</f>
        <v>2.11347192166072</v>
      </c>
      <c r="W78" s="50">
        <f>Z17-0.2*T78</f>
        <v>2.96569361173199</v>
      </c>
      <c r="X78" s="50" t="s">
        <v>107</v>
      </c>
      <c r="Y78" s="50" t="s">
        <v>106</v>
      </c>
      <c r="Z78" s="50">
        <f>U24+0.2*T78</f>
        <v>2.1626781606855006</v>
      </c>
      <c r="AA78" s="50">
        <f>Z24-T78/2</f>
        <v>3.01489985075677</v>
      </c>
      <c r="AB78" s="50" t="s">
        <v>112</v>
      </c>
    </row>
    <row r="79" spans="19:28" ht="12.75">
      <c r="S79" s="50" t="s">
        <v>105</v>
      </c>
      <c r="T79" s="50">
        <v>0.05</v>
      </c>
      <c r="U79" s="50" t="s">
        <v>106</v>
      </c>
      <c r="V79" s="50">
        <f>V78+T79</f>
        <v>2.1634719216607197</v>
      </c>
      <c r="W79" s="50">
        <f>W78</f>
        <v>2.96569361173199</v>
      </c>
      <c r="X79" s="50" t="s">
        <v>107</v>
      </c>
      <c r="Y79" s="50" t="s">
        <v>106</v>
      </c>
      <c r="Z79" s="50">
        <f>Z78+T79</f>
        <v>2.2126781606855004</v>
      </c>
      <c r="AA79" s="50">
        <f>AA78</f>
        <v>3.01489985075677</v>
      </c>
      <c r="AB79" s="50" t="s">
        <v>112</v>
      </c>
    </row>
    <row r="80" spans="2:28" ht="12.75">
      <c r="B80" t="s">
        <v>16</v>
      </c>
      <c r="C80" t="s">
        <v>1</v>
      </c>
      <c r="D80" t="s">
        <v>17</v>
      </c>
      <c r="F80" t="s">
        <v>1</v>
      </c>
      <c r="G80" s="14">
        <f>377*PI()/(2*G78*SQRT($G$13))</f>
        <v>5.535334142874269</v>
      </c>
      <c r="I80" t="s">
        <v>52</v>
      </c>
      <c r="K80">
        <f>2/PI()*(G80-1-LN(2*G80-1)+(($G$13-1)/(2*$G$13)*(LN(G80-1)+0.39-0.61/$G$13)))</f>
        <v>1.7100865387414654</v>
      </c>
      <c r="S80" s="50" t="s">
        <v>105</v>
      </c>
      <c r="T80" s="50">
        <v>0.05</v>
      </c>
      <c r="U80" s="50" t="s">
        <v>106</v>
      </c>
      <c r="V80" s="50">
        <f>V79+T80</f>
        <v>2.2134719216607195</v>
      </c>
      <c r="W80" s="50">
        <f>W79</f>
        <v>2.96569361173199</v>
      </c>
      <c r="X80" s="50" t="s">
        <v>107</v>
      </c>
      <c r="Y80" s="50" t="s">
        <v>106</v>
      </c>
      <c r="Z80" s="50">
        <f>Z79+T80</f>
        <v>2.2626781606855</v>
      </c>
      <c r="AA80" s="50">
        <f>AA79</f>
        <v>3.01489985075677</v>
      </c>
      <c r="AB80" s="50" t="s">
        <v>112</v>
      </c>
    </row>
    <row r="81" spans="2:11" ht="12.75">
      <c r="B81" t="s">
        <v>23</v>
      </c>
      <c r="C81" t="s">
        <v>1</v>
      </c>
      <c r="D81" t="s">
        <v>19</v>
      </c>
      <c r="F81" t="s">
        <v>1</v>
      </c>
      <c r="G81" s="14">
        <f>G78/60*SQRT(($G$13+1)/2)+($G$13-1)/($G$13+1)*(0.23+0.11/$G$13)</f>
        <v>1.6203008944583406</v>
      </c>
      <c r="I81" t="s">
        <v>53</v>
      </c>
      <c r="K81">
        <f>8*EXP(G81)/(EXP(2*G81)-2)</f>
        <v>1.7171314907807285</v>
      </c>
    </row>
    <row r="82" ht="12.75">
      <c r="R82" t="s">
        <v>126</v>
      </c>
    </row>
    <row r="83" spans="2:27" ht="12.75">
      <c r="B83" t="s">
        <v>64</v>
      </c>
      <c r="C83" t="s">
        <v>1</v>
      </c>
      <c r="D83" t="s">
        <v>81</v>
      </c>
      <c r="F83" t="s">
        <v>1</v>
      </c>
      <c r="G83" s="10">
        <f>IF(AND(K80&gt;2,K81&gt;2),K80*$G$19,K81*$G$19)</f>
        <v>0.0030530597906081353</v>
      </c>
      <c r="H83" t="s">
        <v>15</v>
      </c>
      <c r="S83" s="50" t="s">
        <v>111</v>
      </c>
      <c r="T83" s="50" t="s">
        <v>106</v>
      </c>
      <c r="U83" s="50">
        <f>U25</f>
        <v>6.329622004006941</v>
      </c>
      <c r="V83" s="52">
        <f>V25</f>
        <v>2.9756936117319897</v>
      </c>
      <c r="W83" s="50" t="s">
        <v>107</v>
      </c>
      <c r="X83" s="50" t="s">
        <v>106</v>
      </c>
      <c r="Y83" s="50">
        <f>U83+$G$38/4</f>
        <v>6.345673563763136</v>
      </c>
      <c r="Z83" s="50">
        <f>V83+$G$38/4</f>
        <v>2.991745171488185</v>
      </c>
      <c r="AA83" s="50" t="s">
        <v>112</v>
      </c>
    </row>
    <row r="84" spans="2:28" ht="12.75">
      <c r="B84" t="s">
        <v>24</v>
      </c>
      <c r="C84" t="s">
        <v>1</v>
      </c>
      <c r="D84" t="s">
        <v>25</v>
      </c>
      <c r="F84" t="s">
        <v>1</v>
      </c>
      <c r="G84" s="11">
        <f>($G$13+1)/2+($G$13-1)/2/SQRT(1+12/($G$19/G83))</f>
        <v>1.78321717540925</v>
      </c>
      <c r="S84" s="50" t="s">
        <v>105</v>
      </c>
      <c r="T84" s="50">
        <v>0.05</v>
      </c>
      <c r="U84" s="50" t="s">
        <v>106</v>
      </c>
      <c r="V84" s="50">
        <f>U18-T84*0.2</f>
        <v>6.319622004006941</v>
      </c>
      <c r="W84" s="50">
        <f>Z25-0.5*T84</f>
        <v>3.01489985075677</v>
      </c>
      <c r="X84" s="50" t="s">
        <v>107</v>
      </c>
      <c r="Y84" s="50" t="s">
        <v>106</v>
      </c>
      <c r="Z84" s="50">
        <f>Y18-T84/2</f>
        <v>6.368828243031722</v>
      </c>
      <c r="AA84" s="50">
        <f>Z18-T84*0.2</f>
        <v>2.96569361173199</v>
      </c>
      <c r="AB84" s="50" t="s">
        <v>112</v>
      </c>
    </row>
    <row r="85" spans="2:28" ht="12.75">
      <c r="B85" t="s">
        <v>82</v>
      </c>
      <c r="C85" t="s">
        <v>1</v>
      </c>
      <c r="D85" t="s">
        <v>83</v>
      </c>
      <c r="F85" t="s">
        <v>1</v>
      </c>
      <c r="G85" s="10">
        <f>$M$24/SQRT(G84)</f>
        <v>0.13098083843165584</v>
      </c>
      <c r="H85" t="s">
        <v>15</v>
      </c>
      <c r="S85" s="50" t="s">
        <v>105</v>
      </c>
      <c r="T85" s="50">
        <v>0.05</v>
      </c>
      <c r="U85" s="50" t="s">
        <v>106</v>
      </c>
      <c r="V85" s="50">
        <f>V84-T85</f>
        <v>6.2696220040069415</v>
      </c>
      <c r="W85" s="50">
        <f>W84</f>
        <v>3.01489985075677</v>
      </c>
      <c r="X85" s="50" t="s">
        <v>107</v>
      </c>
      <c r="Y85" s="50" t="s">
        <v>106</v>
      </c>
      <c r="Z85" s="50">
        <f>Z84-T85</f>
        <v>6.318828243031722</v>
      </c>
      <c r="AA85" s="50">
        <f>AA84</f>
        <v>2.96569361173199</v>
      </c>
      <c r="AB85" s="50" t="s">
        <v>112</v>
      </c>
    </row>
    <row r="86" spans="2:28" ht="12.75">
      <c r="B86" t="s">
        <v>61</v>
      </c>
      <c r="C86" t="s">
        <v>1</v>
      </c>
      <c r="D86" t="s">
        <v>84</v>
      </c>
      <c r="F86" t="s">
        <v>1</v>
      </c>
      <c r="G86" s="10">
        <f>G85/4</f>
        <v>0.03274520960791396</v>
      </c>
      <c r="H86" t="s">
        <v>15</v>
      </c>
      <c r="S86" s="50" t="s">
        <v>105</v>
      </c>
      <c r="T86" s="50">
        <v>0.05</v>
      </c>
      <c r="U86" s="50" t="s">
        <v>106</v>
      </c>
      <c r="V86" s="50">
        <f>V85-T86</f>
        <v>6.219622004006942</v>
      </c>
      <c r="W86" s="50">
        <f>W85</f>
        <v>3.01489985075677</v>
      </c>
      <c r="X86" s="50" t="s">
        <v>107</v>
      </c>
      <c r="Y86" s="50" t="s">
        <v>106</v>
      </c>
      <c r="Z86" s="50">
        <f>Z85-T86</f>
        <v>6.268828243031722</v>
      </c>
      <c r="AA86" s="50">
        <f>AA85</f>
        <v>2.96569361173199</v>
      </c>
      <c r="AB86" s="50" t="s">
        <v>112</v>
      </c>
    </row>
    <row r="87" ht="12.75">
      <c r="G87" s="10"/>
    </row>
    <row r="88" spans="1:18" ht="12.75">
      <c r="A88" s="5" t="s">
        <v>85</v>
      </c>
      <c r="R88" t="s">
        <v>128</v>
      </c>
    </row>
    <row r="90" spans="2:27" ht="12.75">
      <c r="B90" t="s">
        <v>58</v>
      </c>
      <c r="C90" t="s">
        <v>1</v>
      </c>
      <c r="D90" t="s">
        <v>80</v>
      </c>
      <c r="F90" t="s">
        <v>1</v>
      </c>
      <c r="G90" s="14">
        <f>SQRT(100*$G$32)</f>
        <v>98.70107639907052</v>
      </c>
      <c r="H90" t="s">
        <v>10</v>
      </c>
      <c r="S90" s="50" t="s">
        <v>111</v>
      </c>
      <c r="T90" s="50" t="s">
        <v>106</v>
      </c>
      <c r="U90" s="52">
        <f>Y41</f>
        <v>-4.136003386859537</v>
      </c>
      <c r="V90" s="52">
        <f>Z41</f>
        <v>3.38989985075677</v>
      </c>
      <c r="W90" s="50" t="s">
        <v>107</v>
      </c>
      <c r="X90" s="50" t="s">
        <v>106</v>
      </c>
      <c r="Y90" s="50">
        <f>U90-$G$36/4</f>
        <v>-4.188576734602879</v>
      </c>
      <c r="Z90" s="50">
        <f>V90+$G$36/4</f>
        <v>3.442473198500112</v>
      </c>
      <c r="AA90" s="50" t="s">
        <v>112</v>
      </c>
    </row>
    <row r="91" spans="19:28" ht="12.75">
      <c r="S91" s="50" t="s">
        <v>105</v>
      </c>
      <c r="T91" s="50">
        <v>0.05</v>
      </c>
      <c r="U91" s="50" t="s">
        <v>106</v>
      </c>
      <c r="V91" s="50">
        <f>U41+T91/2</f>
        <v>-4.321296777832904</v>
      </c>
      <c r="W91" s="50">
        <f>Z41-0.2*T91</f>
        <v>3.3798998507567704</v>
      </c>
      <c r="X91" s="50" t="s">
        <v>107</v>
      </c>
      <c r="Y91" s="50" t="s">
        <v>106</v>
      </c>
      <c r="Z91" s="50">
        <f>U46+0.2*T91</f>
        <v>-4.126003386859537</v>
      </c>
      <c r="AA91" s="50">
        <f>Z46-T91/2</f>
        <v>3.5751932417301386</v>
      </c>
      <c r="AB91" s="50" t="s">
        <v>112</v>
      </c>
    </row>
    <row r="92" spans="2:28" ht="12.75">
      <c r="B92" t="s">
        <v>16</v>
      </c>
      <c r="C92" t="s">
        <v>1</v>
      </c>
      <c r="D92" t="s">
        <v>17</v>
      </c>
      <c r="F92" t="s">
        <v>1</v>
      </c>
      <c r="G92" s="14">
        <f>377*PI()/(2*G90*SQRT($G$13))</f>
        <v>3.965582191560254</v>
      </c>
      <c r="I92" t="s">
        <v>52</v>
      </c>
      <c r="K92">
        <f>2/PI()*(G92-1-LN(2*G92-1)+(($G$13-1)/(2*$G$13)*(LN(G92-1)+0.39-0.61/$G$13)))</f>
        <v>0.8724398802402382</v>
      </c>
      <c r="S92" s="50" t="s">
        <v>105</v>
      </c>
      <c r="T92" s="50">
        <v>0.05</v>
      </c>
      <c r="U92" s="50" t="s">
        <v>106</v>
      </c>
      <c r="V92" s="50">
        <f>V91+T92</f>
        <v>-4.271296777832904</v>
      </c>
      <c r="W92" s="50">
        <f>W91</f>
        <v>3.3798998507567704</v>
      </c>
      <c r="X92" s="50" t="s">
        <v>107</v>
      </c>
      <c r="Y92" s="50" t="s">
        <v>106</v>
      </c>
      <c r="Z92" s="50">
        <f>Z91+T92</f>
        <v>-4.076003386859537</v>
      </c>
      <c r="AA92" s="50">
        <f>AA91</f>
        <v>3.5751932417301386</v>
      </c>
      <c r="AB92" s="50" t="s">
        <v>112</v>
      </c>
    </row>
    <row r="93" spans="2:28" ht="12.75">
      <c r="B93" t="s">
        <v>23</v>
      </c>
      <c r="C93" t="s">
        <v>1</v>
      </c>
      <c r="D93" t="s">
        <v>19</v>
      </c>
      <c r="F93" t="s">
        <v>1</v>
      </c>
      <c r="G93" s="14">
        <f>G90/60*SQRT(($G$13+1)/2)+($G$13-1)/($G$13+1)*(0.23+0.11/$G$13)</f>
        <v>2.218549050691573</v>
      </c>
      <c r="I93" t="s">
        <v>53</v>
      </c>
      <c r="K93">
        <f>8*EXP(G93)/(EXP(2*G93)-2)</f>
        <v>0.8912211588418439</v>
      </c>
      <c r="S93" s="50" t="s">
        <v>105</v>
      </c>
      <c r="T93" s="50">
        <v>0.05</v>
      </c>
      <c r="U93" s="50" t="s">
        <v>106</v>
      </c>
      <c r="V93" s="50">
        <f>V92+T93</f>
        <v>-4.2212967778329045</v>
      </c>
      <c r="W93" s="50">
        <f>W92</f>
        <v>3.3798998507567704</v>
      </c>
      <c r="X93" s="50" t="s">
        <v>107</v>
      </c>
      <c r="Y93" s="50" t="s">
        <v>106</v>
      </c>
      <c r="Z93" s="50">
        <f>Z92+T93</f>
        <v>-4.0260033868595375</v>
      </c>
      <c r="AA93" s="50">
        <f>AA92</f>
        <v>3.5751932417301386</v>
      </c>
      <c r="AB93" s="50" t="s">
        <v>112</v>
      </c>
    </row>
    <row r="94" spans="19:28" ht="12.75">
      <c r="S94" s="50" t="s">
        <v>105</v>
      </c>
      <c r="T94" s="50">
        <v>0.05</v>
      </c>
      <c r="U94" s="50" t="s">
        <v>106</v>
      </c>
      <c r="V94" s="50">
        <f>V93+T94</f>
        <v>-4.171296777832905</v>
      </c>
      <c r="W94" s="50">
        <f>W93</f>
        <v>3.3798998507567704</v>
      </c>
      <c r="X94" s="50" t="s">
        <v>107</v>
      </c>
      <c r="Y94" s="50" t="s">
        <v>106</v>
      </c>
      <c r="Z94" s="50">
        <f>Z93+T94</f>
        <v>-3.9760033868595377</v>
      </c>
      <c r="AA94" s="50">
        <f>AA93</f>
        <v>3.5751932417301386</v>
      </c>
      <c r="AB94" s="50" t="s">
        <v>112</v>
      </c>
    </row>
    <row r="95" spans="2:8" ht="12.75">
      <c r="B95" t="s">
        <v>63</v>
      </c>
      <c r="C95" t="s">
        <v>1</v>
      </c>
      <c r="D95" t="s">
        <v>81</v>
      </c>
      <c r="F95" t="s">
        <v>1</v>
      </c>
      <c r="G95" s="10">
        <f>IF(AND(K92&gt;2,K93&gt;2),K92*$G$19,K93*$G$19)</f>
        <v>0.0015845912204207986</v>
      </c>
      <c r="H95" t="s">
        <v>15</v>
      </c>
    </row>
    <row r="96" spans="2:18" ht="12.75">
      <c r="B96" t="s">
        <v>24</v>
      </c>
      <c r="C96" t="s">
        <v>1</v>
      </c>
      <c r="D96" t="s">
        <v>25</v>
      </c>
      <c r="F96" t="s">
        <v>1</v>
      </c>
      <c r="G96" s="11">
        <f>($G$13+1)/2+($G$13-1)/2/SQRT(1+12/(G95/$G$19))</f>
        <v>1.8140237063719054</v>
      </c>
      <c r="R96" t="s">
        <v>127</v>
      </c>
    </row>
    <row r="97" spans="2:8" ht="12.75">
      <c r="B97" t="s">
        <v>26</v>
      </c>
      <c r="C97" t="s">
        <v>1</v>
      </c>
      <c r="D97" t="s">
        <v>83</v>
      </c>
      <c r="F97" t="s">
        <v>1</v>
      </c>
      <c r="G97" s="10">
        <f>M24/SQRT(G96)</f>
        <v>0.12986388952628125</v>
      </c>
      <c r="H97" t="s">
        <v>15</v>
      </c>
    </row>
    <row r="98" spans="2:27" ht="12.75">
      <c r="B98" t="s">
        <v>62</v>
      </c>
      <c r="C98" t="s">
        <v>1</v>
      </c>
      <c r="D98" t="s">
        <v>84</v>
      </c>
      <c r="F98" t="s">
        <v>1</v>
      </c>
      <c r="G98" s="10">
        <f>G97/4</f>
        <v>0.03246597238157031</v>
      </c>
      <c r="H98" t="s">
        <v>15</v>
      </c>
      <c r="S98" s="50" t="s">
        <v>111</v>
      </c>
      <c r="T98" s="50" t="s">
        <v>106</v>
      </c>
      <c r="U98" s="52">
        <f>U47</f>
        <v>4.136003386859537</v>
      </c>
      <c r="V98" s="52">
        <f>V47</f>
        <v>3.38989985075677</v>
      </c>
      <c r="W98" s="50" t="s">
        <v>107</v>
      </c>
      <c r="X98" s="50" t="s">
        <v>106</v>
      </c>
      <c r="Y98" s="50">
        <f>U98+$G$36/4</f>
        <v>4.188576734602879</v>
      </c>
      <c r="Z98" s="50">
        <f>V98+$G$36/4</f>
        <v>3.442473198500112</v>
      </c>
      <c r="AA98" s="50" t="s">
        <v>112</v>
      </c>
    </row>
    <row r="99" spans="19:28" ht="12.75">
      <c r="S99" s="50" t="s">
        <v>105</v>
      </c>
      <c r="T99" s="50">
        <v>0.05</v>
      </c>
      <c r="U99" s="50" t="s">
        <v>106</v>
      </c>
      <c r="V99" s="50">
        <f>U42-T99*0.2</f>
        <v>4.126003386859537</v>
      </c>
      <c r="W99" s="50">
        <f>Z47-0.5*T99</f>
        <v>3.5751932417301386</v>
      </c>
      <c r="X99" s="50" t="s">
        <v>107</v>
      </c>
      <c r="Y99" s="50" t="s">
        <v>106</v>
      </c>
      <c r="Z99" s="50">
        <f>Y42-T99/2</f>
        <v>4.321296777832904</v>
      </c>
      <c r="AA99" s="50">
        <f>Z42-T99*0.2</f>
        <v>3.3798998507567704</v>
      </c>
      <c r="AB99" s="50" t="s">
        <v>112</v>
      </c>
    </row>
    <row r="100" spans="1:2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S100" s="50" t="s">
        <v>105</v>
      </c>
      <c r="T100" s="50">
        <v>0.05</v>
      </c>
      <c r="U100" s="50" t="s">
        <v>106</v>
      </c>
      <c r="V100" s="50">
        <f>V99-T100</f>
        <v>4.076003386859537</v>
      </c>
      <c r="W100" s="50">
        <f>W99</f>
        <v>3.5751932417301386</v>
      </c>
      <c r="X100" s="50" t="s">
        <v>107</v>
      </c>
      <c r="Y100" s="50" t="s">
        <v>106</v>
      </c>
      <c r="Z100" s="50">
        <f>Z99-T100</f>
        <v>4.271296777832904</v>
      </c>
      <c r="AA100" s="50">
        <f>AA99</f>
        <v>3.3798998507567704</v>
      </c>
      <c r="AB100" s="50" t="s">
        <v>112</v>
      </c>
    </row>
    <row r="101" spans="19:28" ht="12.75">
      <c r="S101" s="50" t="s">
        <v>105</v>
      </c>
      <c r="T101" s="50">
        <v>0.05</v>
      </c>
      <c r="U101" s="50" t="s">
        <v>106</v>
      </c>
      <c r="V101" s="50">
        <f>V100-T101</f>
        <v>4.0260033868595375</v>
      </c>
      <c r="W101" s="50">
        <f>W100</f>
        <v>3.5751932417301386</v>
      </c>
      <c r="X101" s="50" t="s">
        <v>107</v>
      </c>
      <c r="Y101" s="50" t="s">
        <v>106</v>
      </c>
      <c r="Z101" s="50">
        <f>Z100-T101</f>
        <v>4.2212967778329045</v>
      </c>
      <c r="AA101" s="50">
        <f>AA100</f>
        <v>3.3798998507567704</v>
      </c>
      <c r="AB101" s="50" t="s">
        <v>112</v>
      </c>
    </row>
    <row r="102" spans="19:28" ht="12.75">
      <c r="S102" s="50" t="s">
        <v>105</v>
      </c>
      <c r="T102" s="50">
        <v>0.05</v>
      </c>
      <c r="U102" s="50" t="s">
        <v>106</v>
      </c>
      <c r="V102" s="50">
        <f>V101-T102</f>
        <v>3.9760033868595377</v>
      </c>
      <c r="W102" s="50">
        <f>W101</f>
        <v>3.5751932417301386</v>
      </c>
      <c r="X102" s="50" t="s">
        <v>107</v>
      </c>
      <c r="Y102" s="50" t="s">
        <v>106</v>
      </c>
      <c r="Z102" s="50">
        <f>Z101-T102</f>
        <v>4.171296777832905</v>
      </c>
      <c r="AA102" s="50">
        <f>AA101</f>
        <v>3.3798998507567704</v>
      </c>
      <c r="AB102" s="50" t="s">
        <v>112</v>
      </c>
    </row>
    <row r="104" ht="12.75">
      <c r="R104" t="s">
        <v>129</v>
      </c>
    </row>
    <row r="106" spans="19:28" ht="12.75">
      <c r="S106" s="50" t="s">
        <v>105</v>
      </c>
      <c r="T106" s="50">
        <v>0.01</v>
      </c>
      <c r="U106" s="50" t="s">
        <v>106</v>
      </c>
      <c r="V106" s="50">
        <v>-9</v>
      </c>
      <c r="W106" s="50">
        <v>0</v>
      </c>
      <c r="X106" s="50" t="s">
        <v>130</v>
      </c>
      <c r="Y106" s="50" t="s">
        <v>106</v>
      </c>
      <c r="Z106" s="50">
        <v>9</v>
      </c>
      <c r="AA106" s="50">
        <v>0</v>
      </c>
      <c r="AB106" s="50" t="s">
        <v>112</v>
      </c>
    </row>
    <row r="108" spans="19:28" ht="12.75">
      <c r="S108" s="50" t="s">
        <v>105</v>
      </c>
      <c r="T108" s="50">
        <v>0.01</v>
      </c>
      <c r="U108" s="50" t="s">
        <v>106</v>
      </c>
      <c r="V108" s="50">
        <v>-9</v>
      </c>
      <c r="W108" s="50">
        <f>5*$O$19+Z46</f>
        <v>3.9501932417301386</v>
      </c>
      <c r="X108" s="50" t="s">
        <v>130</v>
      </c>
      <c r="Y108" s="50" t="s">
        <v>106</v>
      </c>
      <c r="Z108" s="50">
        <v>9</v>
      </c>
      <c r="AA108" s="50">
        <f>5*$O$19+Z46</f>
        <v>3.9501932417301386</v>
      </c>
      <c r="AB108" s="50" t="s">
        <v>112</v>
      </c>
    </row>
    <row r="109" spans="19:28" ht="12.75">
      <c r="S109" s="50" t="s">
        <v>105</v>
      </c>
      <c r="T109" s="50">
        <v>0.01</v>
      </c>
      <c r="U109" s="50" t="s">
        <v>106</v>
      </c>
      <c r="V109" s="50">
        <v>-9</v>
      </c>
      <c r="W109" s="50">
        <f>-W108</f>
        <v>-3.9501932417301386</v>
      </c>
      <c r="X109" s="50" t="s">
        <v>130</v>
      </c>
      <c r="Y109" s="50" t="s">
        <v>106</v>
      </c>
      <c r="Z109" s="50">
        <v>9</v>
      </c>
      <c r="AA109" s="50">
        <f>-AA108</f>
        <v>-3.9501932417301386</v>
      </c>
      <c r="AB109" s="50" t="s">
        <v>112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9"/>
  <sheetViews>
    <sheetView workbookViewId="0" topLeftCell="A1">
      <selection activeCell="K4" sqref="K4"/>
    </sheetView>
  </sheetViews>
  <sheetFormatPr defaultColWidth="9.140625" defaultRowHeight="12.75"/>
  <cols>
    <col min="2" max="2" width="12.28125" style="0" customWidth="1"/>
    <col min="5" max="5" width="12.28125" style="0" customWidth="1"/>
    <col min="7" max="7" width="11.57421875" style="0" bestFit="1" customWidth="1"/>
    <col min="13" max="13" width="12.421875" style="0" bestFit="1" customWidth="1"/>
    <col min="19" max="19" width="10.57421875" style="50" bestFit="1" customWidth="1"/>
    <col min="20" max="41" width="9.140625" style="50" customWidth="1"/>
  </cols>
  <sheetData>
    <row r="1" ht="12.75">
      <c r="A1" s="7" t="s">
        <v>51</v>
      </c>
    </row>
    <row r="2" ht="12.75">
      <c r="A2" s="13">
        <v>37825</v>
      </c>
    </row>
    <row r="3" ht="12.75">
      <c r="A3" s="13"/>
    </row>
    <row r="4" spans="1:3" ht="12.75">
      <c r="A4" s="32"/>
      <c r="B4" t="s">
        <v>1</v>
      </c>
      <c r="C4" t="s">
        <v>86</v>
      </c>
    </row>
    <row r="5" spans="1:18" ht="12.75">
      <c r="A5" s="31"/>
      <c r="B5" t="s">
        <v>1</v>
      </c>
      <c r="C5" t="s">
        <v>87</v>
      </c>
      <c r="R5" s="50" t="s">
        <v>109</v>
      </c>
    </row>
    <row r="6" ht="12.75">
      <c r="A6" s="13"/>
    </row>
    <row r="7" spans="1:40" ht="12.75">
      <c r="A7" s="4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S7" s="50" t="s">
        <v>105</v>
      </c>
      <c r="T7" s="50">
        <v>0.01</v>
      </c>
      <c r="U7" s="50" t="s">
        <v>106</v>
      </c>
      <c r="V7" s="50">
        <v>-9</v>
      </c>
      <c r="W7" s="50">
        <v>-6</v>
      </c>
      <c r="X7" s="50" t="s">
        <v>107</v>
      </c>
      <c r="Y7" s="50" t="s">
        <v>106</v>
      </c>
      <c r="Z7" s="50">
        <v>-9</v>
      </c>
      <c r="AA7" s="50">
        <v>6</v>
      </c>
      <c r="AB7" s="50" t="s">
        <v>107</v>
      </c>
      <c r="AC7" s="50" t="s">
        <v>106</v>
      </c>
      <c r="AD7" s="50">
        <v>9</v>
      </c>
      <c r="AE7" s="50">
        <v>6</v>
      </c>
      <c r="AF7" s="50" t="s">
        <v>107</v>
      </c>
      <c r="AG7" s="50" t="s">
        <v>106</v>
      </c>
      <c r="AH7" s="50">
        <v>9</v>
      </c>
      <c r="AI7" s="50">
        <v>-6</v>
      </c>
      <c r="AJ7" s="50" t="s">
        <v>107</v>
      </c>
      <c r="AK7" s="50" t="s">
        <v>106</v>
      </c>
      <c r="AL7" s="50">
        <v>-9</v>
      </c>
      <c r="AM7" s="50">
        <v>-6</v>
      </c>
      <c r="AN7" s="50" t="s">
        <v>112</v>
      </c>
    </row>
    <row r="8" spans="19:41" s="6" customFormat="1" ht="12.75"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2:18" ht="12.75">
      <c r="B9" t="s">
        <v>13</v>
      </c>
      <c r="C9" t="s">
        <v>1</v>
      </c>
      <c r="D9" t="s">
        <v>14</v>
      </c>
      <c r="F9" t="s">
        <v>1</v>
      </c>
      <c r="G9" s="2">
        <v>299792458</v>
      </c>
      <c r="H9" t="s">
        <v>12</v>
      </c>
      <c r="R9" s="50" t="s">
        <v>110</v>
      </c>
    </row>
    <row r="10" ht="12.75">
      <c r="G10" s="2"/>
    </row>
    <row r="11" spans="1:27" ht="12.75">
      <c r="A11" s="4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S11" s="50" t="s">
        <v>111</v>
      </c>
      <c r="T11" s="50" t="s">
        <v>106</v>
      </c>
      <c r="U11" s="50">
        <f>-G30/2</f>
        <v>-8.482300164692441</v>
      </c>
      <c r="V11" s="50">
        <f>O19*5</f>
        <v>0.35000000000000003</v>
      </c>
      <c r="W11" s="50" t="s">
        <v>107</v>
      </c>
      <c r="X11" s="50" t="s">
        <v>106</v>
      </c>
      <c r="Y11" s="50">
        <f>G30/2</f>
        <v>8.482300164692441</v>
      </c>
      <c r="Z11" s="52">
        <f>V11+G29</f>
        <v>3.8513813738856637</v>
      </c>
      <c r="AA11" s="50" t="s">
        <v>112</v>
      </c>
    </row>
    <row r="12" spans="19:41" s="6" customFormat="1" ht="12.75"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</row>
    <row r="13" spans="2:18" ht="12.75">
      <c r="B13" s="1" t="s">
        <v>0</v>
      </c>
      <c r="C13" s="1" t="s">
        <v>1</v>
      </c>
      <c r="D13" s="1" t="s">
        <v>4</v>
      </c>
      <c r="E13" s="1"/>
      <c r="F13" s="1" t="s">
        <v>1</v>
      </c>
      <c r="G13" s="58">
        <v>2.2891</v>
      </c>
      <c r="H13" s="1"/>
      <c r="I13" s="1"/>
      <c r="J13" s="1"/>
      <c r="K13" s="1"/>
      <c r="L13" s="1"/>
      <c r="M13" s="1"/>
      <c r="N13" s="1"/>
      <c r="O13" s="1"/>
      <c r="P13" s="1"/>
      <c r="R13" s="50" t="s">
        <v>113</v>
      </c>
    </row>
    <row r="14" spans="2:16" ht="12.75">
      <c r="B14" s="1" t="s">
        <v>2</v>
      </c>
      <c r="C14" s="1" t="s">
        <v>1</v>
      </c>
      <c r="D14" s="1" t="s">
        <v>5</v>
      </c>
      <c r="E14" s="1"/>
      <c r="F14" s="1" t="s">
        <v>1</v>
      </c>
      <c r="G14" s="59">
        <v>1114000000</v>
      </c>
      <c r="H14" s="1" t="s">
        <v>9</v>
      </c>
      <c r="I14" s="1"/>
      <c r="J14" s="1"/>
      <c r="K14" s="1"/>
      <c r="L14" s="1"/>
      <c r="M14" s="1"/>
      <c r="N14" s="1"/>
      <c r="O14" s="1"/>
      <c r="P14" s="1"/>
    </row>
    <row r="15" spans="2:27" ht="12.75">
      <c r="B15" s="1" t="s">
        <v>36</v>
      </c>
      <c r="C15" s="1" t="s">
        <v>1</v>
      </c>
      <c r="D15" s="1" t="s">
        <v>8</v>
      </c>
      <c r="E15" s="1"/>
      <c r="F15" s="1" t="s">
        <v>1</v>
      </c>
      <c r="G15" s="35"/>
      <c r="H15" s="1" t="s">
        <v>10</v>
      </c>
      <c r="I15" s="1" t="s">
        <v>99</v>
      </c>
      <c r="J15" s="1"/>
      <c r="K15" s="1"/>
      <c r="L15" s="1"/>
      <c r="M15" s="1"/>
      <c r="N15" s="1"/>
      <c r="O15" s="1"/>
      <c r="P15" s="1"/>
      <c r="S15" s="50" t="s">
        <v>111</v>
      </c>
      <c r="T15" s="50" t="s">
        <v>106</v>
      </c>
      <c r="U15" s="50">
        <f>-1.5*G30/4-G38/2</f>
        <v>-6.371950199119703</v>
      </c>
      <c r="V15" s="52">
        <f>Z11</f>
        <v>3.8513813738856637</v>
      </c>
      <c r="W15" s="50" t="s">
        <v>107</v>
      </c>
      <c r="X15" s="50" t="s">
        <v>106</v>
      </c>
      <c r="Y15" s="50">
        <f>-1.5*G30/4+G38/2</f>
        <v>-6.35150004791896</v>
      </c>
      <c r="Z15" s="50">
        <f>5*O19+Z11</f>
        <v>4.201381373885663</v>
      </c>
      <c r="AA15" s="50" t="s">
        <v>112</v>
      </c>
    </row>
    <row r="16" spans="2:27" ht="12.75">
      <c r="B16" s="1"/>
      <c r="C16" s="1"/>
      <c r="D16" s="1"/>
      <c r="E16" s="1"/>
      <c r="F16" s="1"/>
      <c r="G16" s="45"/>
      <c r="H16" s="1"/>
      <c r="I16" s="1"/>
      <c r="J16" s="1"/>
      <c r="K16" s="1"/>
      <c r="L16" s="1"/>
      <c r="M16" s="1"/>
      <c r="N16" s="1"/>
      <c r="O16" s="1"/>
      <c r="P16" s="1"/>
      <c r="S16" s="50" t="s">
        <v>111</v>
      </c>
      <c r="T16" s="50" t="s">
        <v>106</v>
      </c>
      <c r="U16" s="50">
        <f>-0.5*G30/4-G38/2</f>
        <v>-2.130800116773482</v>
      </c>
      <c r="V16" s="52">
        <f>Z11</f>
        <v>3.8513813738856637</v>
      </c>
      <c r="W16" s="50" t="s">
        <v>107</v>
      </c>
      <c r="X16" s="50" t="s">
        <v>106</v>
      </c>
      <c r="Y16" s="50">
        <f>-0.5*G30/4+G38/2</f>
        <v>-2.110349965572739</v>
      </c>
      <c r="Z16" s="50">
        <f>5*O19+Z11</f>
        <v>4.201381373885663</v>
      </c>
      <c r="AA16" s="50" t="s">
        <v>112</v>
      </c>
    </row>
    <row r="17" spans="2:27" ht="12" customHeight="1">
      <c r="B17" s="1" t="s">
        <v>43</v>
      </c>
      <c r="C17" s="1" t="s">
        <v>1</v>
      </c>
      <c r="D17" s="1" t="s">
        <v>44</v>
      </c>
      <c r="E17" s="1"/>
      <c r="F17" s="1" t="s">
        <v>1</v>
      </c>
      <c r="G17" s="36">
        <f>IF(ISBLANK(I17),IF(ISBLANK(K17),IF(ISBLANK(M17),IF(ISBLANK(O17),"NO VALUE!",O17*0.0254),M17/1000),K17/100),I17)</f>
        <v>0.13335</v>
      </c>
      <c r="H17" s="34" t="s">
        <v>15</v>
      </c>
      <c r="I17" s="37"/>
      <c r="J17" s="1" t="s">
        <v>15</v>
      </c>
      <c r="K17" s="37"/>
      <c r="L17" s="1" t="s">
        <v>40</v>
      </c>
      <c r="M17" s="37"/>
      <c r="N17" s="1" t="s">
        <v>41</v>
      </c>
      <c r="O17" s="48">
        <v>5.25</v>
      </c>
      <c r="P17" s="1" t="s">
        <v>22</v>
      </c>
      <c r="S17" s="50" t="s">
        <v>111</v>
      </c>
      <c r="T17" s="50" t="s">
        <v>106</v>
      </c>
      <c r="U17" s="50">
        <f>0.5*G30/4-G38/2</f>
        <v>2.110349965572739</v>
      </c>
      <c r="V17" s="52">
        <f>Z11</f>
        <v>3.8513813738856637</v>
      </c>
      <c r="W17" s="50" t="s">
        <v>107</v>
      </c>
      <c r="X17" s="50" t="s">
        <v>106</v>
      </c>
      <c r="Y17" s="50">
        <f>0.5*G30/4+G38/2</f>
        <v>2.130800116773482</v>
      </c>
      <c r="Z17" s="50">
        <f>5*O19+Z11</f>
        <v>4.201381373885663</v>
      </c>
      <c r="AA17" s="50" t="s">
        <v>112</v>
      </c>
    </row>
    <row r="18" spans="2:27" ht="12.75">
      <c r="B18" s="1" t="s">
        <v>47</v>
      </c>
      <c r="C18" s="1" t="s">
        <v>1</v>
      </c>
      <c r="D18" s="1" t="s">
        <v>45</v>
      </c>
      <c r="E18" s="1"/>
      <c r="F18" s="1" t="s">
        <v>1</v>
      </c>
      <c r="G18" s="36">
        <f>IF(ISBLANK(I18),IF(ISBLANK(K18),IF(ISBLANK(M18),IF(ISBLANK(O18),"NO VALUE!",O18*0.0254),M18/1000),K18/100),I18)</f>
        <v>0.000127</v>
      </c>
      <c r="H18" s="1" t="s">
        <v>15</v>
      </c>
      <c r="I18" s="38"/>
      <c r="J18" s="1" t="s">
        <v>15</v>
      </c>
      <c r="K18" s="38"/>
      <c r="L18" s="1" t="s">
        <v>40</v>
      </c>
      <c r="M18" s="38"/>
      <c r="N18" s="1" t="s">
        <v>41</v>
      </c>
      <c r="O18" s="47">
        <v>0.005</v>
      </c>
      <c r="P18" s="1" t="s">
        <v>22</v>
      </c>
      <c r="S18" s="50" t="s">
        <v>111</v>
      </c>
      <c r="T18" s="50" t="s">
        <v>106</v>
      </c>
      <c r="U18" s="50">
        <f>1.5*G30/4-G38/2</f>
        <v>6.35150004791896</v>
      </c>
      <c r="V18" s="52">
        <f>Z11</f>
        <v>3.8513813738856637</v>
      </c>
      <c r="W18" s="50" t="s">
        <v>107</v>
      </c>
      <c r="X18" s="50" t="s">
        <v>106</v>
      </c>
      <c r="Y18" s="50">
        <f>1.5*G30/4+G38/2</f>
        <v>6.371950199119703</v>
      </c>
      <c r="Z18" s="50">
        <f>5*O19+Z11</f>
        <v>4.201381373885663</v>
      </c>
      <c r="AA18" s="50" t="s">
        <v>112</v>
      </c>
    </row>
    <row r="19" spans="2:16" ht="12.75">
      <c r="B19" s="1" t="s">
        <v>3</v>
      </c>
      <c r="C19" s="1" t="s">
        <v>1</v>
      </c>
      <c r="D19" s="1" t="s">
        <v>7</v>
      </c>
      <c r="E19" s="1"/>
      <c r="F19" s="1" t="s">
        <v>1</v>
      </c>
      <c r="G19" s="36">
        <f>IF(ISBLANK(I19),IF(ISBLANK(K19),IF(ISBLANK(M19),IF(ISBLANK(O19),"NO VALUE!",O19*0.0254),M19/1000),K19/100),I19)</f>
        <v>0.001778</v>
      </c>
      <c r="H19" s="1" t="s">
        <v>15</v>
      </c>
      <c r="I19" s="38"/>
      <c r="J19" s="1" t="s">
        <v>15</v>
      </c>
      <c r="K19" s="38"/>
      <c r="L19" s="1" t="s">
        <v>40</v>
      </c>
      <c r="M19" s="38"/>
      <c r="N19" s="1" t="s">
        <v>41</v>
      </c>
      <c r="O19" s="38">
        <v>0.07</v>
      </c>
      <c r="P19" s="1" t="s">
        <v>22</v>
      </c>
    </row>
    <row r="20" spans="2:18" ht="12.75">
      <c r="B20" s="1" t="s">
        <v>46</v>
      </c>
      <c r="C20" s="1"/>
      <c r="D20" s="1" t="s">
        <v>6</v>
      </c>
      <c r="E20" s="1"/>
      <c r="F20" s="1" t="s">
        <v>1</v>
      </c>
      <c r="G20" s="36">
        <f>IF(ISBLANK(I20),IF(ISBLANK(K20),IF(ISBLANK(M20),IF(ISBLANK(O20),"NO VALUE!",O20*0.0254),M20/1000),K20/100),I20)</f>
        <v>1.7525999999999998E-05</v>
      </c>
      <c r="H20" s="1" t="s">
        <v>15</v>
      </c>
      <c r="I20" s="39"/>
      <c r="J20" s="1" t="s">
        <v>15</v>
      </c>
      <c r="K20" s="39"/>
      <c r="L20" s="1" t="s">
        <v>40</v>
      </c>
      <c r="M20" s="39"/>
      <c r="N20" s="1" t="s">
        <v>41</v>
      </c>
      <c r="O20" s="49">
        <v>0.00069</v>
      </c>
      <c r="P20" s="1" t="s">
        <v>22</v>
      </c>
      <c r="R20" s="50" t="s">
        <v>114</v>
      </c>
    </row>
    <row r="21" ht="12.75">
      <c r="G21" s="8"/>
    </row>
    <row r="22" spans="1:27" ht="12.75">
      <c r="A22" s="4" t="s">
        <v>39</v>
      </c>
      <c r="B22" s="4"/>
      <c r="C22" s="4"/>
      <c r="D22" s="4"/>
      <c r="E22" s="4"/>
      <c r="F22" s="4"/>
      <c r="G22" s="9"/>
      <c r="H22" s="4"/>
      <c r="I22" s="4"/>
      <c r="J22" s="4"/>
      <c r="K22" s="4"/>
      <c r="L22" s="4"/>
      <c r="M22" s="4"/>
      <c r="N22" s="4"/>
      <c r="O22" s="4"/>
      <c r="P22" s="4"/>
      <c r="S22" s="50" t="s">
        <v>111</v>
      </c>
      <c r="T22" s="50" t="s">
        <v>106</v>
      </c>
      <c r="U22" s="50">
        <f>Y15</f>
        <v>-6.35150004791896</v>
      </c>
      <c r="V22" s="52">
        <f>Z15</f>
        <v>4.201381373885663</v>
      </c>
      <c r="W22" s="50" t="s">
        <v>107</v>
      </c>
      <c r="X22" s="50" t="s">
        <v>106</v>
      </c>
      <c r="Y22" s="50">
        <f>U22+(0.5*G30/4-G46)/2-0.09</f>
        <v>-6.374730657559985</v>
      </c>
      <c r="Z22" s="52">
        <f>V22+G38</f>
        <v>4.221831525086406</v>
      </c>
      <c r="AA22" s="50" t="s">
        <v>112</v>
      </c>
    </row>
    <row r="23" spans="7:27" ht="12.75">
      <c r="G23" s="8"/>
      <c r="S23" s="50" t="s">
        <v>111</v>
      </c>
      <c r="T23" s="50" t="s">
        <v>106</v>
      </c>
      <c r="U23" s="50">
        <f>U16</f>
        <v>-2.130800116773482</v>
      </c>
      <c r="V23" s="52">
        <f>Z16</f>
        <v>4.201381373885663</v>
      </c>
      <c r="W23" s="50" t="s">
        <v>107</v>
      </c>
      <c r="X23" s="50" t="s">
        <v>106</v>
      </c>
      <c r="Y23" s="50">
        <f>U23-(0.5*G30/4-G46)/2+0.09</f>
        <v>-2.1075695071324567</v>
      </c>
      <c r="Z23" s="52">
        <f>V23+G38</f>
        <v>4.221831525086406</v>
      </c>
      <c r="AA23" s="50" t="s">
        <v>112</v>
      </c>
    </row>
    <row r="24" spans="2:27" ht="12.75">
      <c r="B24" t="s">
        <v>42</v>
      </c>
      <c r="C24" t="s">
        <v>1</v>
      </c>
      <c r="D24" t="s">
        <v>11</v>
      </c>
      <c r="F24" t="s">
        <v>1</v>
      </c>
      <c r="G24" s="17">
        <f>M24/0.0254</f>
        <v>10.595020356521863</v>
      </c>
      <c r="H24" t="s">
        <v>22</v>
      </c>
      <c r="I24" s="21">
        <f>M24*1000</f>
        <v>269.1135170556553</v>
      </c>
      <c r="J24" s="16" t="s">
        <v>41</v>
      </c>
      <c r="K24" s="20">
        <f>M24*100</f>
        <v>26.91135170556553</v>
      </c>
      <c r="L24" s="16" t="s">
        <v>40</v>
      </c>
      <c r="M24" s="18">
        <f>G9/G14</f>
        <v>0.2691135170556553</v>
      </c>
      <c r="N24" s="19" t="s">
        <v>15</v>
      </c>
      <c r="S24" s="50" t="s">
        <v>111</v>
      </c>
      <c r="T24" s="50" t="s">
        <v>106</v>
      </c>
      <c r="U24" s="50">
        <f>Y17</f>
        <v>2.130800116773482</v>
      </c>
      <c r="V24" s="52">
        <f>Z17</f>
        <v>4.201381373885663</v>
      </c>
      <c r="W24" s="50" t="s">
        <v>107</v>
      </c>
      <c r="X24" s="50" t="s">
        <v>106</v>
      </c>
      <c r="Y24" s="50">
        <f>U24+(0.5*G30/4-G46)/2-0.09</f>
        <v>2.1075695071324567</v>
      </c>
      <c r="Z24" s="52">
        <f>V24+G38</f>
        <v>4.221831525086406</v>
      </c>
      <c r="AA24" s="50" t="s">
        <v>112</v>
      </c>
    </row>
    <row r="25" spans="7:27" ht="12.75">
      <c r="G25" s="3"/>
      <c r="H25" s="3"/>
      <c r="M25" s="17"/>
      <c r="S25" s="50" t="s">
        <v>111</v>
      </c>
      <c r="T25" s="50" t="s">
        <v>106</v>
      </c>
      <c r="U25" s="50">
        <f>U18</f>
        <v>6.35150004791896</v>
      </c>
      <c r="V25" s="52">
        <f>Z18</f>
        <v>4.201381373885663</v>
      </c>
      <c r="W25" s="50" t="s">
        <v>107</v>
      </c>
      <c r="X25" s="50" t="s">
        <v>106</v>
      </c>
      <c r="Y25" s="50">
        <f>U25-(0.5*G30/4-G46)/2+0.09</f>
        <v>6.374730657559985</v>
      </c>
      <c r="Z25" s="52">
        <f>V25+G38</f>
        <v>4.221831525086406</v>
      </c>
      <c r="AA25" s="50" t="s">
        <v>112</v>
      </c>
    </row>
    <row r="26" spans="1:16" ht="12.75">
      <c r="A26" s="4" t="s">
        <v>38</v>
      </c>
      <c r="B26" s="4"/>
      <c r="C26" s="4"/>
      <c r="D26" s="4"/>
      <c r="E26" s="4"/>
      <c r="F26" s="4"/>
      <c r="G26" s="9"/>
      <c r="H26" s="4"/>
      <c r="I26" s="4"/>
      <c r="J26" s="4"/>
      <c r="K26" s="4"/>
      <c r="L26" s="4"/>
      <c r="M26" s="30"/>
      <c r="N26" s="4"/>
      <c r="O26" s="4"/>
      <c r="P26" s="4"/>
    </row>
    <row r="27" spans="7:18" ht="12.75">
      <c r="G27" s="8"/>
      <c r="M27" s="17"/>
      <c r="R27" s="50" t="s">
        <v>115</v>
      </c>
    </row>
    <row r="28" spans="2:15" ht="12.75">
      <c r="B28" s="27" t="s">
        <v>48</v>
      </c>
      <c r="C28" s="27" t="s">
        <v>1</v>
      </c>
      <c r="D28" s="27" t="s">
        <v>31</v>
      </c>
      <c r="E28" s="27"/>
      <c r="F28" s="27" t="s">
        <v>1</v>
      </c>
      <c r="G28" s="40">
        <f>M28/0.0254</f>
        <v>5.4</v>
      </c>
      <c r="H28" s="27" t="s">
        <v>22</v>
      </c>
      <c r="I28" s="33">
        <f>M28*1000</f>
        <v>137.16</v>
      </c>
      <c r="J28" s="29" t="s">
        <v>41</v>
      </c>
      <c r="K28" s="28">
        <f>M28*100</f>
        <v>13.716000000000001</v>
      </c>
      <c r="L28" s="29" t="s">
        <v>40</v>
      </c>
      <c r="M28" s="25">
        <f>G17+2*G18+2*G19</f>
        <v>0.13716</v>
      </c>
      <c r="N28" s="29" t="s">
        <v>15</v>
      </c>
      <c r="O28" s="54" t="s">
        <v>142</v>
      </c>
    </row>
    <row r="29" spans="2:27" ht="12.75">
      <c r="B29" s="27" t="s">
        <v>49</v>
      </c>
      <c r="C29" s="27" t="s">
        <v>1</v>
      </c>
      <c r="D29" s="27" t="s">
        <v>30</v>
      </c>
      <c r="E29" s="27"/>
      <c r="F29" s="27" t="s">
        <v>1</v>
      </c>
      <c r="G29" s="40">
        <f>M29/0.0254</f>
        <v>3.5013813738856636</v>
      </c>
      <c r="H29" s="27" t="s">
        <v>22</v>
      </c>
      <c r="I29" s="33">
        <f>M29*1000</f>
        <v>88.93508689669585</v>
      </c>
      <c r="J29" s="29" t="s">
        <v>41</v>
      </c>
      <c r="K29" s="28">
        <f>M29*100</f>
        <v>8.893508689669586</v>
      </c>
      <c r="L29" s="29" t="s">
        <v>40</v>
      </c>
      <c r="M29" s="55">
        <f>$M$24/(2*SQRT($G13))</f>
        <v>0.08893508689669585</v>
      </c>
      <c r="N29" s="54" t="s">
        <v>15</v>
      </c>
      <c r="O29" s="57">
        <v>0.0888795902773216</v>
      </c>
      <c r="P29" s="56">
        <f>M29-O29</f>
        <v>5.5496619374248435E-05</v>
      </c>
      <c r="S29" s="50" t="s">
        <v>111</v>
      </c>
      <c r="T29" s="50" t="s">
        <v>106</v>
      </c>
      <c r="U29" s="50">
        <f>Y22</f>
        <v>-6.374730657559985</v>
      </c>
      <c r="V29" s="50">
        <f>V22+(Z22-V22)/2-$G$45/2</f>
        <v>4.1931075552151125</v>
      </c>
      <c r="W29" s="50" t="s">
        <v>107</v>
      </c>
      <c r="X29" s="50" t="s">
        <v>106</v>
      </c>
      <c r="Y29" s="52">
        <f>U29+$G$46</f>
        <v>-4.387694397104824</v>
      </c>
      <c r="Z29" s="50">
        <f>V22+(Z22-V22)/2+$G$45/2</f>
        <v>4.230105343756957</v>
      </c>
      <c r="AA29" s="50" t="s">
        <v>112</v>
      </c>
    </row>
    <row r="30" spans="2:27" ht="12.75">
      <c r="B30" s="27" t="s">
        <v>50</v>
      </c>
      <c r="C30" s="27" t="s">
        <v>1</v>
      </c>
      <c r="D30" s="27" t="s">
        <v>32</v>
      </c>
      <c r="E30" s="27"/>
      <c r="F30" s="27" t="s">
        <v>1</v>
      </c>
      <c r="G30" s="40">
        <f>M30/0.0254</f>
        <v>16.964600329384883</v>
      </c>
      <c r="H30" s="27" t="s">
        <v>22</v>
      </c>
      <c r="I30" s="33">
        <f>M30*1000</f>
        <v>430.90084836637607</v>
      </c>
      <c r="J30" s="29" t="s">
        <v>41</v>
      </c>
      <c r="K30" s="28">
        <f>M30*100</f>
        <v>43.0900848366376</v>
      </c>
      <c r="L30" s="29" t="s">
        <v>40</v>
      </c>
      <c r="M30" s="25">
        <f>PI()*$M$28</f>
        <v>0.43090084836637604</v>
      </c>
      <c r="N30" s="29" t="s">
        <v>15</v>
      </c>
      <c r="S30" s="50" t="s">
        <v>111</v>
      </c>
      <c r="T30" s="50" t="s">
        <v>106</v>
      </c>
      <c r="U30" s="52">
        <f>Y30-$G$46</f>
        <v>-4.094605767587617</v>
      </c>
      <c r="V30" s="50">
        <f>V23+(Z23-V23)/2-$G$45/2</f>
        <v>4.1931075552151125</v>
      </c>
      <c r="W30" s="50" t="s">
        <v>107</v>
      </c>
      <c r="X30" s="50" t="s">
        <v>106</v>
      </c>
      <c r="Y30" s="50">
        <f>Y23</f>
        <v>-2.1075695071324567</v>
      </c>
      <c r="Z30" s="50">
        <f>V23+(Z23-V23)/2+$G$45/2</f>
        <v>4.230105343756957</v>
      </c>
      <c r="AA30" s="50" t="s">
        <v>112</v>
      </c>
    </row>
    <row r="31" spans="2:27" ht="12.75">
      <c r="B31" s="27" t="s">
        <v>33</v>
      </c>
      <c r="C31" s="27" t="s">
        <v>1</v>
      </c>
      <c r="D31" s="27" t="s">
        <v>34</v>
      </c>
      <c r="E31" s="27"/>
      <c r="F31" s="27" t="s">
        <v>1</v>
      </c>
      <c r="G31" s="22">
        <f>IF(I31&lt;1,1,IF(I31&lt;2,2,IF(I31&lt;4,4,IF(I31&lt;8,8,IF(I31&lt;16,16,"Error! Too many Lambda")))))</f>
        <v>4</v>
      </c>
      <c r="H31" s="46" t="s">
        <v>102</v>
      </c>
      <c r="I31" s="11">
        <f>M30/(M24/SQRT($G$13))</f>
        <v>2.4225582017303062</v>
      </c>
      <c r="J31" s="29" t="s">
        <v>102</v>
      </c>
      <c r="M31" s="17"/>
      <c r="S31" s="50" t="s">
        <v>111</v>
      </c>
      <c r="T31" s="50" t="s">
        <v>106</v>
      </c>
      <c r="U31" s="50">
        <f>Y24</f>
        <v>2.1075695071324567</v>
      </c>
      <c r="V31" s="50">
        <f>V24+(Z24-V24)/2-$G$45/2</f>
        <v>4.1931075552151125</v>
      </c>
      <c r="W31" s="50" t="s">
        <v>107</v>
      </c>
      <c r="X31" s="50" t="s">
        <v>106</v>
      </c>
      <c r="Y31" s="52">
        <f>U31+$G$46</f>
        <v>4.094605767587617</v>
      </c>
      <c r="Z31" s="50">
        <f>V24+(Z24-V24)/2+$G$45/2</f>
        <v>4.230105343756957</v>
      </c>
      <c r="AA31" s="50" t="s">
        <v>112</v>
      </c>
    </row>
    <row r="32" spans="2:27" ht="12.75">
      <c r="B32" s="27" t="s">
        <v>36</v>
      </c>
      <c r="C32" s="27" t="s">
        <v>1</v>
      </c>
      <c r="D32" s="27" t="s">
        <v>35</v>
      </c>
      <c r="E32" s="27"/>
      <c r="F32" s="27" t="s">
        <v>1</v>
      </c>
      <c r="G32" s="23">
        <f>IF(ISBLANK($G$15),G31*60*M24/M30,$G$15)</f>
        <v>149.8888766133075</v>
      </c>
      <c r="H32" s="22" t="s">
        <v>10</v>
      </c>
      <c r="I32" s="6"/>
      <c r="J32" s="6"/>
      <c r="M32" s="17"/>
      <c r="S32" s="50" t="s">
        <v>111</v>
      </c>
      <c r="T32" s="50" t="s">
        <v>106</v>
      </c>
      <c r="U32" s="52">
        <f>Y32-$G$46</f>
        <v>4.387694397104824</v>
      </c>
      <c r="V32" s="50">
        <f>V25+(Z25-V25)/2-$G$45/2</f>
        <v>4.1931075552151125</v>
      </c>
      <c r="W32" s="50" t="s">
        <v>107</v>
      </c>
      <c r="X32" s="50" t="s">
        <v>106</v>
      </c>
      <c r="Y32" s="50">
        <f>Y25</f>
        <v>6.374730657559985</v>
      </c>
      <c r="Z32" s="50">
        <f>V25+(Z25-V25)/2+$G$45/2</f>
        <v>4.230105343756957</v>
      </c>
      <c r="AA32" s="50" t="s">
        <v>112</v>
      </c>
    </row>
    <row r="33" ht="12.75">
      <c r="M33" s="17"/>
    </row>
    <row r="34" spans="1:18" ht="12.75">
      <c r="A34" s="4" t="s">
        <v>37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0"/>
      <c r="N34" s="4"/>
      <c r="O34" s="4"/>
      <c r="P34" s="4"/>
      <c r="R34" s="50" t="s">
        <v>116</v>
      </c>
    </row>
    <row r="35" spans="1:13" ht="12.75">
      <c r="A35" s="6"/>
      <c r="B35" s="6"/>
      <c r="C35" s="6"/>
      <c r="D35" s="6"/>
      <c r="E35" s="6"/>
      <c r="F35" s="6"/>
      <c r="G35" s="6"/>
      <c r="H35" s="6"/>
      <c r="I35" s="6"/>
      <c r="M35" s="17"/>
    </row>
    <row r="36" spans="1:27" ht="12.75">
      <c r="A36" s="6"/>
      <c r="B36" s="27" t="s">
        <v>65</v>
      </c>
      <c r="C36" s="27" t="s">
        <v>1</v>
      </c>
      <c r="D36" s="27" t="s">
        <v>54</v>
      </c>
      <c r="E36" s="27"/>
      <c r="F36" s="27" t="s">
        <v>1</v>
      </c>
      <c r="G36" s="24">
        <f>G57/0.0254</f>
        <v>0.21029339097336838</v>
      </c>
      <c r="H36" s="22" t="s">
        <v>22</v>
      </c>
      <c r="I36" s="33">
        <f>G36*25.4</f>
        <v>5.341452130723557</v>
      </c>
      <c r="J36" s="29" t="s">
        <v>41</v>
      </c>
      <c r="K36" s="28">
        <f>G36*2.54</f>
        <v>0.5341452130723557</v>
      </c>
      <c r="L36" s="29" t="s">
        <v>40</v>
      </c>
      <c r="M36" s="25">
        <f>G36*0.0254</f>
        <v>0.005341452130723557</v>
      </c>
      <c r="N36" s="29" t="s">
        <v>15</v>
      </c>
      <c r="S36" s="50" t="s">
        <v>111</v>
      </c>
      <c r="T36" s="50" t="s">
        <v>106</v>
      </c>
      <c r="U36" s="52">
        <f>Y29</f>
        <v>-4.387694397104824</v>
      </c>
      <c r="V36" s="50">
        <f>V22+(Z22-V22)/2-$G$37/2</f>
        <v>4.181307440056587</v>
      </c>
      <c r="W36" s="50" t="s">
        <v>107</v>
      </c>
      <c r="X36" s="50" t="s">
        <v>106</v>
      </c>
      <c r="Y36" s="52">
        <f>U30</f>
        <v>-4.094605767587617</v>
      </c>
      <c r="Z36" s="50">
        <f>V22+(Z22-V22)/2+$G$37/2</f>
        <v>4.2419054589154825</v>
      </c>
      <c r="AA36" s="50" t="s">
        <v>112</v>
      </c>
    </row>
    <row r="37" spans="2:41" s="6" customFormat="1" ht="12.75">
      <c r="B37" s="27" t="s">
        <v>72</v>
      </c>
      <c r="C37" s="27" t="s">
        <v>1</v>
      </c>
      <c r="D37" s="27" t="s">
        <v>57</v>
      </c>
      <c r="E37" s="27"/>
      <c r="F37" s="27" t="s">
        <v>1</v>
      </c>
      <c r="G37" s="24">
        <f>G67/0.0254</f>
        <v>0.06059801885889596</v>
      </c>
      <c r="H37" s="22" t="s">
        <v>22</v>
      </c>
      <c r="I37" s="33">
        <f>G37*25.4</f>
        <v>1.5391896790159572</v>
      </c>
      <c r="J37" s="29" t="s">
        <v>41</v>
      </c>
      <c r="K37" s="28">
        <f>G37*2.54</f>
        <v>0.15391896790159573</v>
      </c>
      <c r="L37" s="29" t="s">
        <v>40</v>
      </c>
      <c r="M37" s="25">
        <f>G37*0.0254</f>
        <v>0.0015391896790159572</v>
      </c>
      <c r="N37" s="29" t="s">
        <v>15</v>
      </c>
      <c r="S37" s="50" t="s">
        <v>111</v>
      </c>
      <c r="T37" s="50" t="s">
        <v>106</v>
      </c>
      <c r="U37" s="52">
        <f>Y31</f>
        <v>4.094605767587617</v>
      </c>
      <c r="V37" s="50">
        <f>V23+(Z23-V23)/2-$G$37/2</f>
        <v>4.181307440056587</v>
      </c>
      <c r="W37" s="50" t="s">
        <v>107</v>
      </c>
      <c r="X37" s="50" t="s">
        <v>106</v>
      </c>
      <c r="Y37" s="52">
        <f>U32</f>
        <v>4.387694397104824</v>
      </c>
      <c r="Z37" s="50">
        <f>V23+(Z23-V23)/2+$G$37/2</f>
        <v>4.2419054589154825</v>
      </c>
      <c r="AA37" s="50" t="s">
        <v>112</v>
      </c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</row>
    <row r="38" spans="2:41" s="6" customFormat="1" ht="12.75">
      <c r="B38" s="27" t="s">
        <v>68</v>
      </c>
      <c r="C38" s="27" t="s">
        <v>1</v>
      </c>
      <c r="D38" s="27" t="s">
        <v>69</v>
      </c>
      <c r="E38" s="27"/>
      <c r="F38" s="27" t="s">
        <v>1</v>
      </c>
      <c r="G38" s="24">
        <f>G74/0.0254</f>
        <v>0.02045015120074314</v>
      </c>
      <c r="H38" s="22" t="s">
        <v>22</v>
      </c>
      <c r="I38" s="33">
        <f>G38*25.4</f>
        <v>0.5194338404988758</v>
      </c>
      <c r="J38" s="29" t="s">
        <v>41</v>
      </c>
      <c r="K38" s="28">
        <f>G38*2.54</f>
        <v>0.051943384049887575</v>
      </c>
      <c r="L38" s="29" t="s">
        <v>40</v>
      </c>
      <c r="M38" s="25">
        <f>G38*0.0254</f>
        <v>0.0005194338404988757</v>
      </c>
      <c r="N38" s="29" t="s">
        <v>15</v>
      </c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</row>
    <row r="39" spans="1:18" ht="12.75">
      <c r="A39" s="6"/>
      <c r="B39" s="6"/>
      <c r="C39" s="6"/>
      <c r="D39" s="6"/>
      <c r="E39" s="6"/>
      <c r="F39" s="6"/>
      <c r="G39" s="6"/>
      <c r="H39" s="6"/>
      <c r="I39" s="41"/>
      <c r="K39" s="14"/>
      <c r="M39" s="10"/>
      <c r="R39" s="50" t="s">
        <v>117</v>
      </c>
    </row>
    <row r="40" spans="1:13" ht="12.75">
      <c r="A40" s="6"/>
      <c r="B40" s="27" t="s">
        <v>55</v>
      </c>
      <c r="C40" s="27" t="s">
        <v>1</v>
      </c>
      <c r="D40" s="27" t="s">
        <v>60</v>
      </c>
      <c r="E40" s="27"/>
      <c r="F40" s="27" t="s">
        <v>1</v>
      </c>
      <c r="G40" s="26">
        <f>G78</f>
        <v>70.71067811865476</v>
      </c>
      <c r="H40" s="27" t="s">
        <v>71</v>
      </c>
      <c r="I40" s="41"/>
      <c r="K40" s="14"/>
      <c r="M40" s="10"/>
    </row>
    <row r="41" spans="1:27" ht="12.75">
      <c r="A41" s="6"/>
      <c r="B41" s="27" t="s">
        <v>64</v>
      </c>
      <c r="C41" s="27" t="s">
        <v>1</v>
      </c>
      <c r="D41" s="27" t="s">
        <v>59</v>
      </c>
      <c r="E41" s="27"/>
      <c r="F41" s="27" t="s">
        <v>1</v>
      </c>
      <c r="G41" s="24">
        <f>G83/0.0254</f>
        <v>0.12019920435465101</v>
      </c>
      <c r="H41" s="22" t="s">
        <v>22</v>
      </c>
      <c r="I41" s="33">
        <f>G41*25.4</f>
        <v>3.0530597906081356</v>
      </c>
      <c r="J41" s="29" t="s">
        <v>41</v>
      </c>
      <c r="K41" s="28">
        <f>G41*2.54</f>
        <v>0.3053059790608136</v>
      </c>
      <c r="L41" s="29" t="s">
        <v>40</v>
      </c>
      <c r="M41" s="25">
        <f>G41*0.0254</f>
        <v>0.0030530597906081353</v>
      </c>
      <c r="N41" s="29" t="s">
        <v>15</v>
      </c>
      <c r="S41" s="50" t="s">
        <v>111</v>
      </c>
      <c r="T41" s="50" t="s">
        <v>106</v>
      </c>
      <c r="U41" s="52">
        <f>-$G$30/4-$G$36/2</f>
        <v>-4.3462967778329045</v>
      </c>
      <c r="V41" s="50">
        <f>Z36</f>
        <v>4.2419054589154825</v>
      </c>
      <c r="W41" s="50" t="s">
        <v>107</v>
      </c>
      <c r="X41" s="50" t="s">
        <v>106</v>
      </c>
      <c r="Y41" s="52">
        <f>-$G$30/4+$G$36/2</f>
        <v>-4.136003386859537</v>
      </c>
      <c r="Z41" s="50">
        <f>Z23+5*$O$19</f>
        <v>4.571831525086406</v>
      </c>
      <c r="AA41" s="50" t="s">
        <v>112</v>
      </c>
    </row>
    <row r="42" spans="2:41" s="6" customFormat="1" ht="12.75">
      <c r="B42" s="27" t="s">
        <v>61</v>
      </c>
      <c r="C42" s="27" t="s">
        <v>1</v>
      </c>
      <c r="D42" s="27" t="s">
        <v>56</v>
      </c>
      <c r="E42" s="27"/>
      <c r="F42" s="27" t="s">
        <v>1</v>
      </c>
      <c r="G42" s="24">
        <f>G86/0.0254</f>
        <v>1.9835341631901962</v>
      </c>
      <c r="H42" s="22" t="s">
        <v>22</v>
      </c>
      <c r="I42" s="33">
        <f>G42*25.4</f>
        <v>50.38176774503098</v>
      </c>
      <c r="J42" s="29" t="s">
        <v>41</v>
      </c>
      <c r="K42" s="28">
        <f>G42*2.54</f>
        <v>5.038176774503098</v>
      </c>
      <c r="L42" s="29" t="s">
        <v>40</v>
      </c>
      <c r="M42" s="25">
        <f>G42*0.0254</f>
        <v>0.05038176774503098</v>
      </c>
      <c r="N42" s="29" t="s">
        <v>15</v>
      </c>
      <c r="S42" s="50" t="s">
        <v>111</v>
      </c>
      <c r="T42" s="50" t="s">
        <v>106</v>
      </c>
      <c r="U42" s="52">
        <f>$G$30/4-$G$36/2</f>
        <v>4.136003386859537</v>
      </c>
      <c r="V42" s="50">
        <f>Z37</f>
        <v>4.2419054589154825</v>
      </c>
      <c r="W42" s="50" t="s">
        <v>107</v>
      </c>
      <c r="X42" s="50" t="s">
        <v>106</v>
      </c>
      <c r="Y42" s="52">
        <f>$G$30/4+$G$36/2</f>
        <v>4.3462967778329045</v>
      </c>
      <c r="Z42" s="50">
        <f>Z24+5*$O$19</f>
        <v>4.571831525086406</v>
      </c>
      <c r="AA42" s="50" t="s">
        <v>112</v>
      </c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</row>
    <row r="43" spans="9:41" s="6" customFormat="1" ht="12.75">
      <c r="I43" s="41"/>
      <c r="K43" s="15"/>
      <c r="M43" s="1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</row>
    <row r="44" spans="2:41" s="6" customFormat="1" ht="12.75">
      <c r="B44" s="27" t="s">
        <v>58</v>
      </c>
      <c r="C44" s="27" t="s">
        <v>1</v>
      </c>
      <c r="D44" s="27" t="s">
        <v>66</v>
      </c>
      <c r="E44" s="27"/>
      <c r="F44" s="27" t="s">
        <v>1</v>
      </c>
      <c r="G44" s="23">
        <f>G90</f>
        <v>122.4291128013707</v>
      </c>
      <c r="H44" s="22" t="s">
        <v>71</v>
      </c>
      <c r="I44" s="41"/>
      <c r="K44" s="15"/>
      <c r="M44" s="12"/>
      <c r="R44" s="50" t="s">
        <v>118</v>
      </c>
      <c r="T44" s="50"/>
      <c r="U44" s="50"/>
      <c r="V44" s="50"/>
      <c r="W44" s="50"/>
      <c r="X44" s="50"/>
      <c r="Y44" s="50"/>
      <c r="Z44" s="50"/>
      <c r="AA44" s="50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pans="2:41" s="6" customFormat="1" ht="12.75">
      <c r="B45" s="27" t="s">
        <v>63</v>
      </c>
      <c r="C45" s="27" t="s">
        <v>1</v>
      </c>
      <c r="D45" s="27" t="s">
        <v>67</v>
      </c>
      <c r="E45" s="27"/>
      <c r="F45" s="27" t="s">
        <v>1</v>
      </c>
      <c r="G45" s="24">
        <f>G95/0.0254</f>
        <v>0.03699778854184413</v>
      </c>
      <c r="H45" s="22" t="s">
        <v>22</v>
      </c>
      <c r="I45" s="33">
        <f>G45*25.4</f>
        <v>0.9397438289628408</v>
      </c>
      <c r="J45" s="29" t="s">
        <v>41</v>
      </c>
      <c r="K45" s="28">
        <f>G45*2.54</f>
        <v>0.09397438289628408</v>
      </c>
      <c r="L45" s="29" t="s">
        <v>40</v>
      </c>
      <c r="M45" s="25">
        <f>G45*0.0254</f>
        <v>0.0009397438289628408</v>
      </c>
      <c r="N45" s="29" t="s">
        <v>15</v>
      </c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</row>
    <row r="46" spans="2:41" s="6" customFormat="1" ht="12.75">
      <c r="B46" s="27" t="s">
        <v>62</v>
      </c>
      <c r="C46" s="27" t="s">
        <v>1</v>
      </c>
      <c r="D46" s="27" t="s">
        <v>56</v>
      </c>
      <c r="E46" s="27"/>
      <c r="F46" s="27" t="s">
        <v>1</v>
      </c>
      <c r="G46" s="24">
        <f>G98/0.0254</f>
        <v>1.9870362604551606</v>
      </c>
      <c r="H46" s="22" t="s">
        <v>22</v>
      </c>
      <c r="I46" s="33">
        <f>G46*25.4</f>
        <v>50.470721015561075</v>
      </c>
      <c r="J46" s="29" t="s">
        <v>41</v>
      </c>
      <c r="K46" s="28">
        <f>G46*2.54</f>
        <v>5.0470721015561075</v>
      </c>
      <c r="L46" s="29" t="s">
        <v>40</v>
      </c>
      <c r="M46" s="25">
        <f>G46*0.0254</f>
        <v>0.050470721015561076</v>
      </c>
      <c r="N46" s="29" t="s">
        <v>15</v>
      </c>
      <c r="S46" s="50" t="s">
        <v>111</v>
      </c>
      <c r="T46" s="50" t="s">
        <v>106</v>
      </c>
      <c r="U46" s="52">
        <f>Y41</f>
        <v>-4.136003386859537</v>
      </c>
      <c r="V46" s="50">
        <f>Z41</f>
        <v>4.571831525086406</v>
      </c>
      <c r="W46" s="50" t="s">
        <v>107</v>
      </c>
      <c r="X46" s="50" t="s">
        <v>106</v>
      </c>
      <c r="Y46" s="52">
        <f>U46+((U42-Y41)-2*$G$46)/3</f>
        <v>-2.703358635923286</v>
      </c>
      <c r="Z46" s="52">
        <f>V46+$G$36</f>
        <v>4.782124916059774</v>
      </c>
      <c r="AA46" s="50" t="s">
        <v>112</v>
      </c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</row>
    <row r="47" spans="19:41" s="6" customFormat="1" ht="12.75">
      <c r="S47" s="50" t="s">
        <v>111</v>
      </c>
      <c r="T47" s="50" t="s">
        <v>106</v>
      </c>
      <c r="U47" s="52">
        <f>U42</f>
        <v>4.136003386859537</v>
      </c>
      <c r="V47" s="50">
        <f>Z42</f>
        <v>4.571831525086406</v>
      </c>
      <c r="W47" s="50" t="s">
        <v>107</v>
      </c>
      <c r="X47" s="50" t="s">
        <v>106</v>
      </c>
      <c r="Y47" s="52">
        <f>U47-((U42-Y41)-2*$G$46)/3</f>
        <v>2.703358635923286</v>
      </c>
      <c r="Z47" s="52">
        <f>V47+$G$36</f>
        <v>4.782124916059774</v>
      </c>
      <c r="AA47" s="50" t="s">
        <v>112</v>
      </c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</row>
    <row r="48" spans="1:41" s="6" customFormat="1" ht="12.75">
      <c r="A48" s="4" t="s">
        <v>70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</row>
    <row r="49" spans="18:41" s="6" customFormat="1" ht="12.75">
      <c r="R49" s="51" t="s">
        <v>119</v>
      </c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</row>
    <row r="50" ht="12.75">
      <c r="A50" s="5" t="s">
        <v>73</v>
      </c>
    </row>
    <row r="51" spans="19:27" ht="12.75">
      <c r="S51" s="50" t="s">
        <v>111</v>
      </c>
      <c r="T51" s="50" t="s">
        <v>106</v>
      </c>
      <c r="U51" s="52">
        <f>Y46</f>
        <v>-2.703358635923286</v>
      </c>
      <c r="V51" s="50">
        <f>Z46+(V46-Z46)/2-$G$41/2</f>
        <v>4.616878618395765</v>
      </c>
      <c r="W51" s="50" t="s">
        <v>107</v>
      </c>
      <c r="X51" s="50" t="s">
        <v>106</v>
      </c>
      <c r="Y51" s="52">
        <f>U51+$G$42</f>
        <v>-0.71982447273309</v>
      </c>
      <c r="Z51" s="52">
        <f>V51+$G$41</f>
        <v>4.737077822750416</v>
      </c>
      <c r="AA51" s="50" t="s">
        <v>112</v>
      </c>
    </row>
    <row r="52" spans="2:27" ht="12.75">
      <c r="B52" t="s">
        <v>27</v>
      </c>
      <c r="C52" t="s">
        <v>1</v>
      </c>
      <c r="D52" t="s">
        <v>29</v>
      </c>
      <c r="F52" t="s">
        <v>1</v>
      </c>
      <c r="G52">
        <v>50</v>
      </c>
      <c r="H52" t="s">
        <v>10</v>
      </c>
      <c r="S52" s="50" t="s">
        <v>111</v>
      </c>
      <c r="T52" s="50" t="s">
        <v>106</v>
      </c>
      <c r="U52" s="52">
        <f>Y47</f>
        <v>2.703358635923286</v>
      </c>
      <c r="V52" s="50">
        <f>Z47+(V47-Z47)/2-$G$41/2</f>
        <v>4.616878618395765</v>
      </c>
      <c r="W52" s="50" t="s">
        <v>107</v>
      </c>
      <c r="X52" s="50" t="s">
        <v>106</v>
      </c>
      <c r="Y52" s="52">
        <f>U52-$G$42</f>
        <v>0.71982447273309</v>
      </c>
      <c r="Z52" s="52">
        <f>V52+$G$41</f>
        <v>4.737077822750416</v>
      </c>
      <c r="AA52" s="50" t="s">
        <v>112</v>
      </c>
    </row>
    <row r="54" spans="2:18" ht="12.75">
      <c r="B54" t="s">
        <v>16</v>
      </c>
      <c r="C54" t="s">
        <v>1</v>
      </c>
      <c r="D54" t="s">
        <v>17</v>
      </c>
      <c r="F54" t="s">
        <v>1</v>
      </c>
      <c r="G54" s="14">
        <f>377*PI()/(2*G52*SQRT($G$13))</f>
        <v>7.8281446171196425</v>
      </c>
      <c r="I54" t="s">
        <v>52</v>
      </c>
      <c r="K54">
        <f>2/PI()*(G54-1-LN(2*G54-1)+(($G$13-1)/(2*$G$13)*(LN(G54-1)+0.39-0.61/$G$13)))</f>
        <v>3.0041912996195483</v>
      </c>
      <c r="R54" s="50" t="s">
        <v>116</v>
      </c>
    </row>
    <row r="55" spans="2:11" ht="12.75">
      <c r="B55" t="s">
        <v>23</v>
      </c>
      <c r="C55" t="s">
        <v>1</v>
      </c>
      <c r="D55" t="s">
        <v>19</v>
      </c>
      <c r="F55" t="s">
        <v>1</v>
      </c>
      <c r="G55" s="14">
        <f>G52/60*SQRT(($G$13+1)/2)+($G$13-1)/($G$13+1)*(0.23+0.11/$G$13)</f>
        <v>1.1776446351690886</v>
      </c>
      <c r="I55" t="s">
        <v>53</v>
      </c>
      <c r="K55">
        <f>8*EXP(G55)/(EXP(2*G55)-2)</f>
        <v>3.0410026435598763</v>
      </c>
    </row>
    <row r="56" spans="19:27" ht="12.75">
      <c r="S56" s="50" t="s">
        <v>111</v>
      </c>
      <c r="T56" s="50" t="s">
        <v>106</v>
      </c>
      <c r="U56" s="52">
        <f>Y51</f>
        <v>-0.71982447273309</v>
      </c>
      <c r="V56" s="50">
        <f>V51+(Z51-V51)/2-$G$37/2</f>
        <v>4.646679211143643</v>
      </c>
      <c r="W56" s="50" t="s">
        <v>107</v>
      </c>
      <c r="X56" s="50" t="s">
        <v>106</v>
      </c>
      <c r="Y56" s="52">
        <f>Y52</f>
        <v>0.71982447273309</v>
      </c>
      <c r="Z56" s="50">
        <f>V51+(Z51-V51)/2+$G$37/2</f>
        <v>4.707277230002538</v>
      </c>
      <c r="AA56" s="50" t="s">
        <v>112</v>
      </c>
    </row>
    <row r="57" spans="2:8" ht="12.75">
      <c r="B57" t="s">
        <v>65</v>
      </c>
      <c r="C57" t="s">
        <v>1</v>
      </c>
      <c r="D57" t="s">
        <v>77</v>
      </c>
      <c r="F57" t="s">
        <v>1</v>
      </c>
      <c r="G57" s="10">
        <f>IF(AND(K54&gt;2,K55&gt;2),K54*$G$19,K55*$G$19)</f>
        <v>0.005341452130723557</v>
      </c>
      <c r="H57" t="s">
        <v>15</v>
      </c>
    </row>
    <row r="58" ht="12.75">
      <c r="R58" s="50" t="s">
        <v>121</v>
      </c>
    </row>
    <row r="59" ht="12.75">
      <c r="A59" s="5" t="s">
        <v>74</v>
      </c>
    </row>
    <row r="60" spans="19:25" ht="12.75">
      <c r="S60" s="50" t="s">
        <v>120</v>
      </c>
      <c r="T60" s="50">
        <v>0.042</v>
      </c>
      <c r="U60" s="50" t="s">
        <v>122</v>
      </c>
      <c r="V60" s="50" t="s">
        <v>106</v>
      </c>
      <c r="W60" s="50">
        <v>0</v>
      </c>
      <c r="X60" s="50">
        <f>V56+(Z56-V56)/2</f>
        <v>4.6769782205730905</v>
      </c>
      <c r="Y60" s="50" t="s">
        <v>112</v>
      </c>
    </row>
    <row r="61" spans="2:8" ht="12.75">
      <c r="B61" t="s">
        <v>28</v>
      </c>
      <c r="C61" t="s">
        <v>1</v>
      </c>
      <c r="D61" t="s">
        <v>29</v>
      </c>
      <c r="F61" t="s">
        <v>1</v>
      </c>
      <c r="G61">
        <v>100</v>
      </c>
      <c r="H61" t="s">
        <v>10</v>
      </c>
    </row>
    <row r="62" ht="12.75">
      <c r="R62" t="s">
        <v>123</v>
      </c>
    </row>
    <row r="63" spans="1:11" ht="12.75">
      <c r="A63" s="7"/>
      <c r="B63" t="s">
        <v>16</v>
      </c>
      <c r="C63" t="s">
        <v>1</v>
      </c>
      <c r="D63" t="s">
        <v>17</v>
      </c>
      <c r="F63" t="s">
        <v>1</v>
      </c>
      <c r="G63" s="14">
        <f>377*PI()/(2*G61*SQRT($G$13))</f>
        <v>3.9140723085598212</v>
      </c>
      <c r="I63" t="s">
        <v>52</v>
      </c>
      <c r="K63">
        <f>2/PI()*(G63-1-LN(2*G63-1)+(($G$13-1)/(2*$G$13)*(LN(G63-1)+0.39-0.61/$G$13)))</f>
        <v>0.8460400627717087</v>
      </c>
    </row>
    <row r="64" spans="1:27" ht="12.75">
      <c r="A64" s="7"/>
      <c r="G64" s="14"/>
      <c r="S64" s="50" t="s">
        <v>111</v>
      </c>
      <c r="T64" s="50" t="s">
        <v>106</v>
      </c>
      <c r="U64" s="50">
        <f>U22</f>
        <v>-6.35150004791896</v>
      </c>
      <c r="V64" s="52">
        <f>V22</f>
        <v>4.201381373885663</v>
      </c>
      <c r="W64" s="50" t="s">
        <v>107</v>
      </c>
      <c r="X64" s="50" t="s">
        <v>106</v>
      </c>
      <c r="Y64" s="50">
        <f>U64-$G$38/4</f>
        <v>-6.356612585719146</v>
      </c>
      <c r="Z64" s="50">
        <f>V64+$G$38/4</f>
        <v>4.2064939116858495</v>
      </c>
      <c r="AA64" s="50" t="s">
        <v>112</v>
      </c>
    </row>
    <row r="65" spans="2:28" ht="12.75">
      <c r="B65" t="s">
        <v>23</v>
      </c>
      <c r="C65" t="s">
        <v>1</v>
      </c>
      <c r="D65" t="s">
        <v>19</v>
      </c>
      <c r="F65" t="s">
        <v>1</v>
      </c>
      <c r="G65" s="14">
        <f>G61/60*SQRT(($G$13+1)/2)+($G$13-1)/($G$13+1)*(0.23+0.11/$G$13)</f>
        <v>2.2463113798145424</v>
      </c>
      <c r="I65" t="s">
        <v>53</v>
      </c>
      <c r="K65">
        <f>8*EXP(G65)/(EXP(2*G65)-2)</f>
        <v>0.8656859836985136</v>
      </c>
      <c r="S65" s="50" t="s">
        <v>105</v>
      </c>
      <c r="T65" s="50">
        <v>0.05</v>
      </c>
      <c r="U65" s="50" t="s">
        <v>106</v>
      </c>
      <c r="V65" s="50">
        <f>U15+T65/2</f>
        <v>-6.346950199119703</v>
      </c>
      <c r="W65" s="50">
        <f>Z15-0.2*T65</f>
        <v>4.191381373885664</v>
      </c>
      <c r="X65" s="50" t="s">
        <v>107</v>
      </c>
      <c r="Y65" s="50" t="s">
        <v>106</v>
      </c>
      <c r="Z65" s="50">
        <f>U22+0.2*T65</f>
        <v>-6.34150004791896</v>
      </c>
      <c r="AA65" s="50">
        <f>Z22-T65/2</f>
        <v>4.196831525086406</v>
      </c>
      <c r="AB65" s="50" t="s">
        <v>112</v>
      </c>
    </row>
    <row r="67" spans="2:8" ht="12.75">
      <c r="B67" t="s">
        <v>72</v>
      </c>
      <c r="C67" t="s">
        <v>1</v>
      </c>
      <c r="D67" t="s">
        <v>78</v>
      </c>
      <c r="F67" t="s">
        <v>1</v>
      </c>
      <c r="G67" s="10">
        <f>IF(AND(K63&gt;2,K65&gt;2),K63*$G$19,K65*$G$19)</f>
        <v>0.0015391896790159572</v>
      </c>
      <c r="H67" t="s">
        <v>15</v>
      </c>
    </row>
    <row r="69" spans="1:18" ht="12.75">
      <c r="A69" s="5" t="s">
        <v>75</v>
      </c>
      <c r="G69" s="3"/>
      <c r="H69" s="3"/>
      <c r="R69" t="s">
        <v>124</v>
      </c>
    </row>
    <row r="70" spans="7:27" ht="12.75">
      <c r="G70" s="3"/>
      <c r="H70" s="3"/>
      <c r="S70" s="50" t="s">
        <v>111</v>
      </c>
      <c r="T70" s="50" t="s">
        <v>106</v>
      </c>
      <c r="U70" s="50">
        <f>U23</f>
        <v>-2.130800116773482</v>
      </c>
      <c r="V70" s="52">
        <f>V23</f>
        <v>4.201381373885663</v>
      </c>
      <c r="W70" s="50" t="s">
        <v>107</v>
      </c>
      <c r="X70" s="50" t="s">
        <v>106</v>
      </c>
      <c r="Y70" s="50">
        <f>U70+$G$38/4</f>
        <v>-2.125687578973296</v>
      </c>
      <c r="Z70" s="50">
        <f>V70+$G$38/4</f>
        <v>4.2064939116858495</v>
      </c>
      <c r="AA70" s="50" t="s">
        <v>112</v>
      </c>
    </row>
    <row r="71" spans="2:28" ht="12.75">
      <c r="B71" t="s">
        <v>16</v>
      </c>
      <c r="C71" t="s">
        <v>1</v>
      </c>
      <c r="D71" t="s">
        <v>17</v>
      </c>
      <c r="F71" t="s">
        <v>1</v>
      </c>
      <c r="G71" s="14">
        <f>377*PI()/(2*$G$32*SQRT($G$13))</f>
        <v>2.6113160609359856</v>
      </c>
      <c r="I71" t="s">
        <v>52</v>
      </c>
      <c r="K71">
        <f>2/PI()*(G71-1-LN(2*G71-1)+(($G$13-1)/(2*$G$13)*(LN(G71-1)+0.39-0.61/$G$13)))</f>
        <v>0.21642672601582677</v>
      </c>
      <c r="S71" s="50" t="s">
        <v>105</v>
      </c>
      <c r="T71" s="50">
        <v>0.05</v>
      </c>
      <c r="U71" s="50" t="s">
        <v>106</v>
      </c>
      <c r="V71" s="50">
        <f>U16-T71*0.2</f>
        <v>-2.1408001167734816</v>
      </c>
      <c r="W71" s="50">
        <f>Z23-0.5*T71</f>
        <v>4.196831525086406</v>
      </c>
      <c r="X71" s="50" t="s">
        <v>107</v>
      </c>
      <c r="Y71" s="50" t="s">
        <v>106</v>
      </c>
      <c r="Z71" s="50">
        <f>Y16-T71/2</f>
        <v>-2.135349965572739</v>
      </c>
      <c r="AA71" s="50">
        <f>Z16-T71*0.2</f>
        <v>4.191381373885664</v>
      </c>
      <c r="AB71" s="50" t="s">
        <v>112</v>
      </c>
    </row>
    <row r="72" spans="2:11" ht="12.75">
      <c r="B72" t="s">
        <v>18</v>
      </c>
      <c r="C72" t="s">
        <v>1</v>
      </c>
      <c r="D72" t="s">
        <v>19</v>
      </c>
      <c r="F72" t="s">
        <v>1</v>
      </c>
      <c r="G72" s="14">
        <f>$G$32/60*SQRT(($G$13+1)/2)+($G$13-1)/($G$13+1)*(0.23+0.11/$G$13)</f>
        <v>3.312603047101783</v>
      </c>
      <c r="I72" t="s">
        <v>53</v>
      </c>
      <c r="K72">
        <f>8*EXP(G72)/(EXP(2*G72)-2)</f>
        <v>0.2921450171534734</v>
      </c>
    </row>
    <row r="74" spans="2:8" ht="12.75">
      <c r="B74" t="s">
        <v>68</v>
      </c>
      <c r="C74" t="s">
        <v>1</v>
      </c>
      <c r="D74" t="s">
        <v>79</v>
      </c>
      <c r="F74" t="s">
        <v>1</v>
      </c>
      <c r="G74" s="10">
        <f>IF(AND(K71&gt;2,K72&gt;2),K71*$G$19,K72*$G$19)</f>
        <v>0.0005194338404988757</v>
      </c>
      <c r="H74" t="s">
        <v>15</v>
      </c>
    </row>
    <row r="75" ht="12.75">
      <c r="R75" t="s">
        <v>125</v>
      </c>
    </row>
    <row r="76" ht="12.75">
      <c r="A76" s="5" t="s">
        <v>76</v>
      </c>
    </row>
    <row r="77" spans="19:27" ht="12.75">
      <c r="S77" s="50" t="s">
        <v>111</v>
      </c>
      <c r="T77" s="50" t="s">
        <v>106</v>
      </c>
      <c r="U77" s="50">
        <f>U24</f>
        <v>2.130800116773482</v>
      </c>
      <c r="V77" s="52">
        <f>V24</f>
        <v>4.201381373885663</v>
      </c>
      <c r="W77" s="50" t="s">
        <v>107</v>
      </c>
      <c r="X77" s="50" t="s">
        <v>106</v>
      </c>
      <c r="Y77" s="50">
        <f>U77-$G$38/4</f>
        <v>2.125687578973296</v>
      </c>
      <c r="Z77" s="50">
        <f>V77+$G$38/4</f>
        <v>4.2064939116858495</v>
      </c>
      <c r="AA77" s="50" t="s">
        <v>112</v>
      </c>
    </row>
    <row r="78" spans="2:28" ht="12.75">
      <c r="B78" t="s">
        <v>55</v>
      </c>
      <c r="C78" t="s">
        <v>1</v>
      </c>
      <c r="D78" t="s">
        <v>80</v>
      </c>
      <c r="F78" t="s">
        <v>1</v>
      </c>
      <c r="G78" s="14">
        <f>SQRT(100*50)</f>
        <v>70.71067811865476</v>
      </c>
      <c r="H78" t="s">
        <v>10</v>
      </c>
      <c r="S78" s="50" t="s">
        <v>105</v>
      </c>
      <c r="T78" s="50">
        <v>0.05</v>
      </c>
      <c r="U78" s="50" t="s">
        <v>106</v>
      </c>
      <c r="V78" s="50">
        <f>U17+T78/2</f>
        <v>2.135349965572739</v>
      </c>
      <c r="W78" s="50">
        <f>Z17-0.2*T78</f>
        <v>4.191381373885664</v>
      </c>
      <c r="X78" s="50" t="s">
        <v>107</v>
      </c>
      <c r="Y78" s="50" t="s">
        <v>106</v>
      </c>
      <c r="Z78" s="50">
        <f>U24+0.2*T78</f>
        <v>2.1408001167734816</v>
      </c>
      <c r="AA78" s="50">
        <f>Z24-T78/2</f>
        <v>4.196831525086406</v>
      </c>
      <c r="AB78" s="50" t="s">
        <v>112</v>
      </c>
    </row>
    <row r="80" spans="2:11" ht="12.75">
      <c r="B80" t="s">
        <v>16</v>
      </c>
      <c r="C80" t="s">
        <v>1</v>
      </c>
      <c r="D80" t="s">
        <v>17</v>
      </c>
      <c r="F80" t="s">
        <v>1</v>
      </c>
      <c r="G80" s="14">
        <f>377*PI()/(2*G78*SQRT($G$13))</f>
        <v>5.535334142874269</v>
      </c>
      <c r="I80" t="s">
        <v>52</v>
      </c>
      <c r="K80">
        <f>2/PI()*(G80-1-LN(2*G80-1)+(($G$13-1)/(2*$G$13)*(LN(G80-1)+0.39-0.61/$G$13)))</f>
        <v>1.7100865387414654</v>
      </c>
    </row>
    <row r="81" spans="2:11" ht="12.75">
      <c r="B81" t="s">
        <v>23</v>
      </c>
      <c r="C81" t="s">
        <v>1</v>
      </c>
      <c r="D81" t="s">
        <v>19</v>
      </c>
      <c r="F81" t="s">
        <v>1</v>
      </c>
      <c r="G81" s="14">
        <f>G78/60*SQRT(($G$13+1)/2)+($G$13-1)/($G$13+1)*(0.23+0.11/$G$13)</f>
        <v>1.6203008944583406</v>
      </c>
      <c r="I81" t="s">
        <v>53</v>
      </c>
      <c r="K81">
        <f>8*EXP(G81)/(EXP(2*G81)-2)</f>
        <v>1.7171314907807285</v>
      </c>
    </row>
    <row r="82" ht="12.75">
      <c r="R82" t="s">
        <v>126</v>
      </c>
    </row>
    <row r="83" spans="2:27" ht="12.75">
      <c r="B83" t="s">
        <v>64</v>
      </c>
      <c r="C83" t="s">
        <v>1</v>
      </c>
      <c r="D83" t="s">
        <v>81</v>
      </c>
      <c r="F83" t="s">
        <v>1</v>
      </c>
      <c r="G83" s="10">
        <f>IF(AND(K80&gt;2,K81&gt;2),K80*$G$19,K81*$G$19)</f>
        <v>0.0030530597906081353</v>
      </c>
      <c r="H83" t="s">
        <v>15</v>
      </c>
      <c r="S83" s="50" t="s">
        <v>111</v>
      </c>
      <c r="T83" s="50" t="s">
        <v>106</v>
      </c>
      <c r="U83" s="50">
        <f>U25</f>
        <v>6.35150004791896</v>
      </c>
      <c r="V83" s="52">
        <f>V25</f>
        <v>4.201381373885663</v>
      </c>
      <c r="W83" s="50" t="s">
        <v>107</v>
      </c>
      <c r="X83" s="50" t="s">
        <v>106</v>
      </c>
      <c r="Y83" s="50">
        <f>U83+$G$38/4</f>
        <v>6.356612585719146</v>
      </c>
      <c r="Z83" s="50">
        <f>V83+$G$38/4</f>
        <v>4.2064939116858495</v>
      </c>
      <c r="AA83" s="50" t="s">
        <v>112</v>
      </c>
    </row>
    <row r="84" spans="2:28" ht="12.75">
      <c r="B84" t="s">
        <v>24</v>
      </c>
      <c r="C84" t="s">
        <v>1</v>
      </c>
      <c r="D84" t="s">
        <v>25</v>
      </c>
      <c r="F84" t="s">
        <v>1</v>
      </c>
      <c r="G84" s="11">
        <f>($G$13+1)/2+($G$13-1)/2/SQRT(1+12/($G$19/G83))</f>
        <v>1.78321717540925</v>
      </c>
      <c r="S84" s="50" t="s">
        <v>105</v>
      </c>
      <c r="T84" s="50">
        <v>0.05</v>
      </c>
      <c r="U84" s="50" t="s">
        <v>106</v>
      </c>
      <c r="V84" s="50">
        <f>U18-T84*0.2</f>
        <v>6.34150004791896</v>
      </c>
      <c r="W84" s="50">
        <f>Z25-0.5*T84</f>
        <v>4.196831525086406</v>
      </c>
      <c r="X84" s="50" t="s">
        <v>107</v>
      </c>
      <c r="Y84" s="50" t="s">
        <v>106</v>
      </c>
      <c r="Z84" s="50">
        <f>Y18-T84/2</f>
        <v>6.346950199119703</v>
      </c>
      <c r="AA84" s="50">
        <f>Z18-T84*0.2</f>
        <v>4.191381373885664</v>
      </c>
      <c r="AB84" s="50" t="s">
        <v>112</v>
      </c>
    </row>
    <row r="85" spans="2:8" ht="12.75">
      <c r="B85" t="s">
        <v>82</v>
      </c>
      <c r="C85" t="s">
        <v>1</v>
      </c>
      <c r="D85" t="s">
        <v>83</v>
      </c>
      <c r="F85" t="s">
        <v>1</v>
      </c>
      <c r="G85" s="10">
        <f>$M$24/SQRT(G84)</f>
        <v>0.20152707098012393</v>
      </c>
      <c r="H85" t="s">
        <v>15</v>
      </c>
    </row>
    <row r="86" spans="2:8" ht="12.75">
      <c r="B86" t="s">
        <v>61</v>
      </c>
      <c r="C86" t="s">
        <v>1</v>
      </c>
      <c r="D86" t="s">
        <v>84</v>
      </c>
      <c r="F86" t="s">
        <v>1</v>
      </c>
      <c r="G86" s="10">
        <f>G85/4</f>
        <v>0.05038176774503098</v>
      </c>
      <c r="H86" t="s">
        <v>15</v>
      </c>
    </row>
    <row r="87" ht="12.75">
      <c r="G87" s="10"/>
    </row>
    <row r="88" spans="1:18" ht="12.75">
      <c r="A88" s="5" t="s">
        <v>85</v>
      </c>
      <c r="R88" t="s">
        <v>128</v>
      </c>
    </row>
    <row r="90" spans="2:27" ht="12.75">
      <c r="B90" t="s">
        <v>58</v>
      </c>
      <c r="C90" t="s">
        <v>1</v>
      </c>
      <c r="D90" t="s">
        <v>80</v>
      </c>
      <c r="F90" t="s">
        <v>1</v>
      </c>
      <c r="G90" s="14">
        <f>SQRT(100*$G$32)</f>
        <v>122.4291128013707</v>
      </c>
      <c r="H90" t="s">
        <v>10</v>
      </c>
      <c r="S90" s="50" t="s">
        <v>111</v>
      </c>
      <c r="T90" s="50" t="s">
        <v>106</v>
      </c>
      <c r="U90" s="52">
        <f>Y41</f>
        <v>-4.136003386859537</v>
      </c>
      <c r="V90" s="52">
        <f>Z41</f>
        <v>4.571831525086406</v>
      </c>
      <c r="W90" s="50" t="s">
        <v>107</v>
      </c>
      <c r="X90" s="50" t="s">
        <v>106</v>
      </c>
      <c r="Y90" s="50">
        <f>U90-$G$36/4</f>
        <v>-4.188576734602879</v>
      </c>
      <c r="Z90" s="50">
        <f>V90+$G$36/4</f>
        <v>4.624404872829748</v>
      </c>
      <c r="AA90" s="50" t="s">
        <v>112</v>
      </c>
    </row>
    <row r="91" spans="19:28" ht="12.75">
      <c r="S91" s="50" t="s">
        <v>105</v>
      </c>
      <c r="T91" s="50">
        <v>0.05</v>
      </c>
      <c r="U91" s="50" t="s">
        <v>106</v>
      </c>
      <c r="V91" s="50">
        <f>U41+T91/2</f>
        <v>-4.321296777832904</v>
      </c>
      <c r="W91" s="50">
        <f>Z41-0.2*T91</f>
        <v>4.561831525086406</v>
      </c>
      <c r="X91" s="50" t="s">
        <v>107</v>
      </c>
      <c r="Y91" s="50" t="s">
        <v>106</v>
      </c>
      <c r="Z91" s="50">
        <f>U46+0.2*T91</f>
        <v>-4.126003386859537</v>
      </c>
      <c r="AA91" s="50">
        <f>Z46-T91/2</f>
        <v>4.757124916059774</v>
      </c>
      <c r="AB91" s="50" t="s">
        <v>112</v>
      </c>
    </row>
    <row r="92" spans="2:28" ht="12.75">
      <c r="B92" t="s">
        <v>16</v>
      </c>
      <c r="C92" t="s">
        <v>1</v>
      </c>
      <c r="D92" t="s">
        <v>17</v>
      </c>
      <c r="F92" t="s">
        <v>1</v>
      </c>
      <c r="G92" s="14">
        <f>377*PI()/(2*G90*SQRT($G$13))</f>
        <v>3.1970110858436276</v>
      </c>
      <c r="I92" t="s">
        <v>52</v>
      </c>
      <c r="K92">
        <f>2/PI()*(G92-1-LN(2*G92-1)+(($G$13-1)/(2*$G$13)*(LN(G92-1)+0.39-0.61/$G$13)))</f>
        <v>0.4890039225748988</v>
      </c>
      <c r="S92" s="50" t="s">
        <v>105</v>
      </c>
      <c r="T92" s="50">
        <v>0.05</v>
      </c>
      <c r="U92" s="50" t="s">
        <v>106</v>
      </c>
      <c r="V92" s="50">
        <f>V91+T92</f>
        <v>-4.271296777832904</v>
      </c>
      <c r="W92" s="50">
        <f>W91</f>
        <v>4.561831525086406</v>
      </c>
      <c r="X92" s="50" t="s">
        <v>107</v>
      </c>
      <c r="Y92" s="50" t="s">
        <v>106</v>
      </c>
      <c r="Z92" s="50">
        <f>Z91+T92</f>
        <v>-4.076003386859537</v>
      </c>
      <c r="AA92" s="50">
        <f>AA91</f>
        <v>4.757124916059774</v>
      </c>
      <c r="AB92" s="50" t="s">
        <v>112</v>
      </c>
    </row>
    <row r="93" spans="2:28" ht="12.75">
      <c r="B93" t="s">
        <v>23</v>
      </c>
      <c r="C93" t="s">
        <v>1</v>
      </c>
      <c r="D93" t="s">
        <v>19</v>
      </c>
      <c r="F93" t="s">
        <v>1</v>
      </c>
      <c r="G93" s="14">
        <f>G90/60*SQRT(($G$13+1)/2)+($G$13-1)/($G$13+1)*(0.23+0.11/$G$13)</f>
        <v>2.725696319069072</v>
      </c>
      <c r="I93" t="s">
        <v>53</v>
      </c>
      <c r="K93">
        <f>8*EXP(G93)/(EXP(2*G93)-2)</f>
        <v>0.5285398363120589</v>
      </c>
      <c r="S93" s="50" t="s">
        <v>105</v>
      </c>
      <c r="T93" s="50">
        <v>0.05</v>
      </c>
      <c r="U93" s="50" t="s">
        <v>106</v>
      </c>
      <c r="V93" s="50">
        <f>V92+T93</f>
        <v>-4.2212967778329045</v>
      </c>
      <c r="W93" s="50">
        <f>W92</f>
        <v>4.561831525086406</v>
      </c>
      <c r="X93" s="50" t="s">
        <v>107</v>
      </c>
      <c r="Y93" s="50" t="s">
        <v>106</v>
      </c>
      <c r="Z93" s="50">
        <f>Z92+T93</f>
        <v>-4.0260033868595375</v>
      </c>
      <c r="AA93" s="50">
        <f>AA92</f>
        <v>4.757124916059774</v>
      </c>
      <c r="AB93" s="50" t="s">
        <v>112</v>
      </c>
    </row>
    <row r="94" spans="19:28" ht="12.75">
      <c r="S94" s="50" t="s">
        <v>105</v>
      </c>
      <c r="T94" s="50">
        <v>0.05</v>
      </c>
      <c r="U94" s="50" t="s">
        <v>106</v>
      </c>
      <c r="V94" s="50">
        <f>V93+T94</f>
        <v>-4.171296777832905</v>
      </c>
      <c r="W94" s="50">
        <f>W93</f>
        <v>4.561831525086406</v>
      </c>
      <c r="X94" s="50" t="s">
        <v>107</v>
      </c>
      <c r="Y94" s="50" t="s">
        <v>106</v>
      </c>
      <c r="Z94" s="50">
        <f>Z93+T94</f>
        <v>-3.9760033868595377</v>
      </c>
      <c r="AA94" s="50">
        <f>AA93</f>
        <v>4.757124916059774</v>
      </c>
      <c r="AB94" s="50" t="s">
        <v>112</v>
      </c>
    </row>
    <row r="95" spans="2:8" ht="12.75">
      <c r="B95" t="s">
        <v>63</v>
      </c>
      <c r="C95" t="s">
        <v>1</v>
      </c>
      <c r="D95" t="s">
        <v>81</v>
      </c>
      <c r="F95" t="s">
        <v>1</v>
      </c>
      <c r="G95" s="10">
        <f>IF(AND(K92&gt;2,K93&gt;2),K92*$G$19,K93*$G$19)</f>
        <v>0.0009397438289628408</v>
      </c>
      <c r="H95" t="s">
        <v>15</v>
      </c>
    </row>
    <row r="96" spans="2:18" ht="12.75">
      <c r="B96" t="s">
        <v>24</v>
      </c>
      <c r="C96" t="s">
        <v>1</v>
      </c>
      <c r="D96" t="s">
        <v>25</v>
      </c>
      <c r="F96" t="s">
        <v>1</v>
      </c>
      <c r="G96" s="11">
        <f>($G$13+1)/2+($G$13-1)/2/SQRT(1+12/(G95/$G$19))</f>
        <v>1.7769369712722112</v>
      </c>
      <c r="R96" t="s">
        <v>127</v>
      </c>
    </row>
    <row r="97" spans="2:8" ht="12.75">
      <c r="B97" t="s">
        <v>26</v>
      </c>
      <c r="C97" t="s">
        <v>1</v>
      </c>
      <c r="D97" t="s">
        <v>83</v>
      </c>
      <c r="F97" t="s">
        <v>1</v>
      </c>
      <c r="G97" s="10">
        <f>M24/SQRT(G96)</f>
        <v>0.2018828840622443</v>
      </c>
      <c r="H97" t="s">
        <v>15</v>
      </c>
    </row>
    <row r="98" spans="2:27" ht="12.75">
      <c r="B98" t="s">
        <v>62</v>
      </c>
      <c r="C98" t="s">
        <v>1</v>
      </c>
      <c r="D98" t="s">
        <v>84</v>
      </c>
      <c r="F98" t="s">
        <v>1</v>
      </c>
      <c r="G98" s="10">
        <f>G97/4</f>
        <v>0.050470721015561076</v>
      </c>
      <c r="H98" t="s">
        <v>15</v>
      </c>
      <c r="S98" s="50" t="s">
        <v>111</v>
      </c>
      <c r="T98" s="50" t="s">
        <v>106</v>
      </c>
      <c r="U98" s="52">
        <f>U47</f>
        <v>4.136003386859537</v>
      </c>
      <c r="V98" s="52">
        <f>V47</f>
        <v>4.571831525086406</v>
      </c>
      <c r="W98" s="50" t="s">
        <v>107</v>
      </c>
      <c r="X98" s="50" t="s">
        <v>106</v>
      </c>
      <c r="Y98" s="50">
        <f>U98+$G$36/4</f>
        <v>4.188576734602879</v>
      </c>
      <c r="Z98" s="50">
        <f>V98+$G$36/4</f>
        <v>4.624404872829748</v>
      </c>
      <c r="AA98" s="50" t="s">
        <v>112</v>
      </c>
    </row>
    <row r="99" spans="19:28" ht="12.75">
      <c r="S99" s="50" t="s">
        <v>105</v>
      </c>
      <c r="T99" s="50">
        <v>0.05</v>
      </c>
      <c r="U99" s="50" t="s">
        <v>106</v>
      </c>
      <c r="V99" s="50">
        <f>U42-T99*0.2</f>
        <v>4.126003386859537</v>
      </c>
      <c r="W99" s="50">
        <f>Z47-0.5*T99</f>
        <v>4.757124916059774</v>
      </c>
      <c r="X99" s="50" t="s">
        <v>107</v>
      </c>
      <c r="Y99" s="50" t="s">
        <v>106</v>
      </c>
      <c r="Z99" s="50">
        <f>Y42-T99/2</f>
        <v>4.321296777832904</v>
      </c>
      <c r="AA99" s="50">
        <f>Z42-T99*0.2</f>
        <v>4.561831525086406</v>
      </c>
      <c r="AB99" s="50" t="s">
        <v>112</v>
      </c>
    </row>
    <row r="100" spans="1:2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S100" s="50" t="s">
        <v>105</v>
      </c>
      <c r="T100" s="50">
        <v>0.05</v>
      </c>
      <c r="U100" s="50" t="s">
        <v>106</v>
      </c>
      <c r="V100" s="50">
        <f>V99-T100</f>
        <v>4.076003386859537</v>
      </c>
      <c r="W100" s="50">
        <f>W99</f>
        <v>4.757124916059774</v>
      </c>
      <c r="X100" s="50" t="s">
        <v>107</v>
      </c>
      <c r="Y100" s="50" t="s">
        <v>106</v>
      </c>
      <c r="Z100" s="50">
        <f>Z99-T100</f>
        <v>4.271296777832904</v>
      </c>
      <c r="AA100" s="50">
        <f>AA99</f>
        <v>4.561831525086406</v>
      </c>
      <c r="AB100" s="50" t="s">
        <v>112</v>
      </c>
    </row>
    <row r="101" spans="19:28" ht="12.75">
      <c r="S101" s="50" t="s">
        <v>105</v>
      </c>
      <c r="T101" s="50">
        <v>0.05</v>
      </c>
      <c r="U101" s="50" t="s">
        <v>106</v>
      </c>
      <c r="V101" s="50">
        <f>V100-T101</f>
        <v>4.0260033868595375</v>
      </c>
      <c r="W101" s="50">
        <f>W100</f>
        <v>4.757124916059774</v>
      </c>
      <c r="X101" s="50" t="s">
        <v>107</v>
      </c>
      <c r="Y101" s="50" t="s">
        <v>106</v>
      </c>
      <c r="Z101" s="50">
        <f>Z100-T101</f>
        <v>4.2212967778329045</v>
      </c>
      <c r="AA101" s="50">
        <f>AA100</f>
        <v>4.561831525086406</v>
      </c>
      <c r="AB101" s="50" t="s">
        <v>112</v>
      </c>
    </row>
    <row r="102" spans="19:28" ht="12.75">
      <c r="S102" s="50" t="s">
        <v>105</v>
      </c>
      <c r="T102" s="50">
        <v>0.05</v>
      </c>
      <c r="U102" s="50" t="s">
        <v>106</v>
      </c>
      <c r="V102" s="50">
        <f>V101-T102</f>
        <v>3.9760033868595377</v>
      </c>
      <c r="W102" s="50">
        <f>W101</f>
        <v>4.757124916059774</v>
      </c>
      <c r="X102" s="50" t="s">
        <v>107</v>
      </c>
      <c r="Y102" s="50" t="s">
        <v>106</v>
      </c>
      <c r="Z102" s="50">
        <f>Z101-T102</f>
        <v>4.171296777832905</v>
      </c>
      <c r="AA102" s="50">
        <f>AA101</f>
        <v>4.561831525086406</v>
      </c>
      <c r="AB102" s="50" t="s">
        <v>112</v>
      </c>
    </row>
    <row r="104" ht="12.75">
      <c r="R104" t="s">
        <v>129</v>
      </c>
    </row>
    <row r="106" spans="19:28" ht="12.75">
      <c r="S106" s="50" t="s">
        <v>105</v>
      </c>
      <c r="T106" s="50">
        <v>0.01</v>
      </c>
      <c r="U106" s="50" t="s">
        <v>106</v>
      </c>
      <c r="V106" s="50">
        <v>-9</v>
      </c>
      <c r="W106" s="50">
        <v>0</v>
      </c>
      <c r="X106" s="50" t="s">
        <v>130</v>
      </c>
      <c r="Y106" s="50" t="s">
        <v>106</v>
      </c>
      <c r="Z106" s="50">
        <v>9</v>
      </c>
      <c r="AA106" s="50">
        <v>0</v>
      </c>
      <c r="AB106" s="50" t="s">
        <v>112</v>
      </c>
    </row>
    <row r="108" spans="19:28" ht="12.75">
      <c r="S108" s="50" t="s">
        <v>105</v>
      </c>
      <c r="T108" s="50">
        <v>0.01</v>
      </c>
      <c r="U108" s="50" t="s">
        <v>106</v>
      </c>
      <c r="V108" s="50">
        <v>-9</v>
      </c>
      <c r="W108" s="50">
        <f>5*$O$19+Z46</f>
        <v>5.132124916059774</v>
      </c>
      <c r="X108" s="50" t="s">
        <v>130</v>
      </c>
      <c r="Y108" s="50" t="s">
        <v>106</v>
      </c>
      <c r="Z108" s="50">
        <v>9</v>
      </c>
      <c r="AA108" s="50">
        <f>5*$O$19+Z46</f>
        <v>5.132124916059774</v>
      </c>
      <c r="AB108" s="50" t="s">
        <v>112</v>
      </c>
    </row>
    <row r="109" spans="19:28" ht="12.75">
      <c r="S109" s="50" t="s">
        <v>105</v>
      </c>
      <c r="T109" s="50">
        <v>0.01</v>
      </c>
      <c r="U109" s="50" t="s">
        <v>106</v>
      </c>
      <c r="V109" s="50">
        <v>-9</v>
      </c>
      <c r="W109" s="50">
        <f>-W108</f>
        <v>-5.132124916059774</v>
      </c>
      <c r="X109" s="50" t="s">
        <v>130</v>
      </c>
      <c r="Y109" s="50" t="s">
        <v>106</v>
      </c>
      <c r="Z109" s="50">
        <v>9</v>
      </c>
      <c r="AA109" s="50">
        <f>-AA108</f>
        <v>-5.132124916059774</v>
      </c>
      <c r="AB109" s="50" t="s">
        <v>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9"/>
  <sheetViews>
    <sheetView tabSelected="1" workbookViewId="0" topLeftCell="A1">
      <selection activeCell="B61" sqref="B61"/>
    </sheetView>
  </sheetViews>
  <sheetFormatPr defaultColWidth="9.140625" defaultRowHeight="12.75"/>
  <cols>
    <col min="2" max="2" width="12.28125" style="0" customWidth="1"/>
    <col min="5" max="5" width="12.28125" style="0" customWidth="1"/>
    <col min="7" max="7" width="11.57421875" style="0" bestFit="1" customWidth="1"/>
    <col min="13" max="13" width="12.421875" style="0" bestFit="1" customWidth="1"/>
    <col min="19" max="19" width="10.57421875" style="50" bestFit="1" customWidth="1"/>
    <col min="20" max="41" width="9.140625" style="50" customWidth="1"/>
  </cols>
  <sheetData>
    <row r="1" ht="12.75">
      <c r="A1" s="7" t="s">
        <v>51</v>
      </c>
    </row>
    <row r="2" ht="12.75">
      <c r="A2" s="13">
        <v>37825</v>
      </c>
    </row>
    <row r="3" ht="12.75">
      <c r="A3" s="13"/>
    </row>
    <row r="4" spans="1:3" ht="12.75">
      <c r="A4" s="32"/>
      <c r="B4" t="s">
        <v>1</v>
      </c>
      <c r="C4" t="s">
        <v>86</v>
      </c>
    </row>
    <row r="5" spans="1:18" ht="12.75">
      <c r="A5" s="31"/>
      <c r="B5" t="s">
        <v>1</v>
      </c>
      <c r="C5" t="s">
        <v>87</v>
      </c>
      <c r="R5" s="50" t="s">
        <v>109</v>
      </c>
    </row>
    <row r="6" ht="12.75">
      <c r="A6" s="13"/>
    </row>
    <row r="7" spans="1:41" ht="12.75">
      <c r="A7" s="4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S7" s="50" t="s">
        <v>105</v>
      </c>
      <c r="T7" s="50">
        <v>0.01</v>
      </c>
      <c r="U7" s="50" t="s">
        <v>106</v>
      </c>
      <c r="V7" s="50">
        <v>-9</v>
      </c>
      <c r="W7" s="50">
        <v>-6</v>
      </c>
      <c r="X7" s="50" t="s">
        <v>107</v>
      </c>
      <c r="Y7" s="50" t="s">
        <v>106</v>
      </c>
      <c r="Z7" s="50">
        <v>-9</v>
      </c>
      <c r="AA7" s="50">
        <v>6</v>
      </c>
      <c r="AB7" s="50" t="s">
        <v>107</v>
      </c>
      <c r="AC7" s="50" t="s">
        <v>106</v>
      </c>
      <c r="AD7" s="50">
        <v>9</v>
      </c>
      <c r="AE7" s="50">
        <v>6</v>
      </c>
      <c r="AF7" s="50" t="s">
        <v>107</v>
      </c>
      <c r="AG7" s="50" t="s">
        <v>106</v>
      </c>
      <c r="AH7" s="50">
        <v>9</v>
      </c>
      <c r="AI7" s="50">
        <v>-6</v>
      </c>
      <c r="AJ7" s="50" t="s">
        <v>107</v>
      </c>
      <c r="AK7" s="50" t="s">
        <v>106</v>
      </c>
      <c r="AL7" s="50">
        <v>-9</v>
      </c>
      <c r="AM7" s="50">
        <v>-6</v>
      </c>
      <c r="AN7" s="50" t="s">
        <v>107</v>
      </c>
      <c r="AO7" s="50" t="s">
        <v>108</v>
      </c>
    </row>
    <row r="8" spans="19:41" s="6" customFormat="1" ht="12.75"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2:18" ht="12.75">
      <c r="B9" t="s">
        <v>13</v>
      </c>
      <c r="C9" t="s">
        <v>1</v>
      </c>
      <c r="D9" t="s">
        <v>14</v>
      </c>
      <c r="F9" t="s">
        <v>1</v>
      </c>
      <c r="G9" s="2">
        <v>299792458</v>
      </c>
      <c r="H9" t="s">
        <v>12</v>
      </c>
      <c r="R9" s="50" t="s">
        <v>110</v>
      </c>
    </row>
    <row r="10" ht="12.75">
      <c r="G10" s="2"/>
    </row>
    <row r="11" spans="1:27" ht="12.75">
      <c r="A11" s="4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S11" s="50" t="s">
        <v>111</v>
      </c>
      <c r="T11" s="50" t="s">
        <v>106</v>
      </c>
      <c r="U11" s="50">
        <f>-G30/2</f>
        <v>-8.45873821979052</v>
      </c>
      <c r="V11" s="50">
        <f>O19*5</f>
        <v>0.3125</v>
      </c>
      <c r="W11" s="50" t="s">
        <v>107</v>
      </c>
      <c r="X11" s="50" t="s">
        <v>106</v>
      </c>
      <c r="Y11" s="50">
        <f>G30/2</f>
        <v>8.45873821979052</v>
      </c>
      <c r="Z11" s="52">
        <f>V11+G29</f>
        <v>4.632033610751527</v>
      </c>
      <c r="AA11" s="50" t="s">
        <v>112</v>
      </c>
    </row>
    <row r="12" spans="19:41" s="6" customFormat="1" ht="12.75"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</row>
    <row r="13" spans="2:18" ht="12.75">
      <c r="B13" s="1" t="s">
        <v>0</v>
      </c>
      <c r="C13" s="1" t="s">
        <v>1</v>
      </c>
      <c r="D13" s="1" t="s">
        <v>4</v>
      </c>
      <c r="E13" s="1"/>
      <c r="F13" s="1" t="s">
        <v>1</v>
      </c>
      <c r="G13" s="58">
        <v>2.2891</v>
      </c>
      <c r="H13" s="1"/>
      <c r="I13" s="1"/>
      <c r="J13" s="1"/>
      <c r="K13" s="1"/>
      <c r="L13" s="1"/>
      <c r="M13" s="1"/>
      <c r="N13" s="1"/>
      <c r="O13" s="1"/>
      <c r="P13" s="1"/>
      <c r="R13" s="50" t="s">
        <v>113</v>
      </c>
    </row>
    <row r="14" spans="2:16" ht="12.75">
      <c r="B14" s="1" t="s">
        <v>2</v>
      </c>
      <c r="C14" s="1" t="s">
        <v>1</v>
      </c>
      <c r="D14" s="1" t="s">
        <v>5</v>
      </c>
      <c r="E14" s="1"/>
      <c r="F14" s="1" t="s">
        <v>1</v>
      </c>
      <c r="G14" s="59">
        <v>903000000</v>
      </c>
      <c r="H14" s="1" t="s">
        <v>9</v>
      </c>
      <c r="I14" s="1"/>
      <c r="J14" s="1"/>
      <c r="K14" s="1"/>
      <c r="L14" s="1"/>
      <c r="M14" s="1"/>
      <c r="N14" s="1"/>
      <c r="O14" s="1"/>
      <c r="P14" s="1"/>
    </row>
    <row r="15" spans="2:27" ht="12.75">
      <c r="B15" s="1" t="s">
        <v>36</v>
      </c>
      <c r="C15" s="1" t="s">
        <v>1</v>
      </c>
      <c r="D15" s="1" t="s">
        <v>8</v>
      </c>
      <c r="E15" s="1"/>
      <c r="F15" s="1" t="s">
        <v>1</v>
      </c>
      <c r="G15" s="35"/>
      <c r="H15" s="1" t="s">
        <v>10</v>
      </c>
      <c r="I15" s="1" t="s">
        <v>99</v>
      </c>
      <c r="J15" s="1"/>
      <c r="K15" s="1"/>
      <c r="L15" s="1"/>
      <c r="M15" s="1"/>
      <c r="N15" s="1"/>
      <c r="O15" s="1"/>
      <c r="P15" s="1"/>
      <c r="S15" s="50" t="s">
        <v>111</v>
      </c>
      <c r="T15" s="50" t="s">
        <v>106</v>
      </c>
      <c r="U15" s="50">
        <f>-1.5*G30/4-G38/2</f>
        <v>-6.375931649367258</v>
      </c>
      <c r="V15" s="52">
        <f>Z11</f>
        <v>4.632033610751527</v>
      </c>
      <c r="W15" s="50" t="s">
        <v>107</v>
      </c>
      <c r="X15" s="50" t="s">
        <v>106</v>
      </c>
      <c r="Y15" s="50">
        <f>-1.5*G30/4+G38/2</f>
        <v>-6.312175680318523</v>
      </c>
      <c r="Z15" s="50">
        <f>5*O19+Z11</f>
        <v>4.944533610751527</v>
      </c>
      <c r="AA15" s="50" t="s">
        <v>112</v>
      </c>
    </row>
    <row r="16" spans="2:27" ht="12.75">
      <c r="B16" s="1"/>
      <c r="C16" s="1"/>
      <c r="D16" s="1"/>
      <c r="E16" s="1"/>
      <c r="F16" s="1"/>
      <c r="G16" s="45"/>
      <c r="H16" s="1"/>
      <c r="I16" s="1"/>
      <c r="J16" s="1"/>
      <c r="K16" s="1"/>
      <c r="L16" s="1"/>
      <c r="M16" s="1"/>
      <c r="N16" s="1"/>
      <c r="O16" s="1"/>
      <c r="P16" s="1"/>
      <c r="S16" s="50" t="s">
        <v>111</v>
      </c>
      <c r="T16" s="50" t="s">
        <v>106</v>
      </c>
      <c r="U16" s="50">
        <f>-0.5*G30/4-G38/2</f>
        <v>-2.1465625394719976</v>
      </c>
      <c r="V16" s="52">
        <f>Z11</f>
        <v>4.632033610751527</v>
      </c>
      <c r="W16" s="50" t="s">
        <v>107</v>
      </c>
      <c r="X16" s="50" t="s">
        <v>106</v>
      </c>
      <c r="Y16" s="50">
        <f>-0.5*G30/4+G38/2</f>
        <v>-2.0828065704232626</v>
      </c>
      <c r="Z16" s="50">
        <f>5*O19+Z11</f>
        <v>4.944533610751527</v>
      </c>
      <c r="AA16" s="50" t="s">
        <v>112</v>
      </c>
    </row>
    <row r="17" spans="2:27" ht="12" customHeight="1">
      <c r="B17" s="1" t="s">
        <v>43</v>
      </c>
      <c r="C17" s="1" t="s">
        <v>1</v>
      </c>
      <c r="D17" s="1" t="s">
        <v>44</v>
      </c>
      <c r="E17" s="1"/>
      <c r="F17" s="1" t="s">
        <v>1</v>
      </c>
      <c r="G17" s="36">
        <f>IF(ISBLANK(I17),IF(ISBLANK(K17),IF(ISBLANK(M17),IF(ISBLANK(O17),"NO VALUE!",O17*0.0254),M17/1000),K17/100),I17)</f>
        <v>0.13335</v>
      </c>
      <c r="H17" s="34" t="s">
        <v>15</v>
      </c>
      <c r="I17" s="37"/>
      <c r="J17" s="1" t="s">
        <v>15</v>
      </c>
      <c r="K17" s="37"/>
      <c r="L17" s="1" t="s">
        <v>40</v>
      </c>
      <c r="M17" s="37"/>
      <c r="N17" s="1" t="s">
        <v>41</v>
      </c>
      <c r="O17" s="48">
        <v>5.25</v>
      </c>
      <c r="P17" s="1" t="s">
        <v>22</v>
      </c>
      <c r="S17" s="50" t="s">
        <v>111</v>
      </c>
      <c r="T17" s="50" t="s">
        <v>106</v>
      </c>
      <c r="U17" s="50">
        <f>0.5*G30/4-G38/2</f>
        <v>2.0828065704232626</v>
      </c>
      <c r="V17" s="52">
        <f>Z11</f>
        <v>4.632033610751527</v>
      </c>
      <c r="W17" s="50" t="s">
        <v>107</v>
      </c>
      <c r="X17" s="50" t="s">
        <v>106</v>
      </c>
      <c r="Y17" s="50">
        <f>0.5*G30/4+G38/2</f>
        <v>2.1465625394719976</v>
      </c>
      <c r="Z17" s="50">
        <f>5*O19+Z11</f>
        <v>4.944533610751527</v>
      </c>
      <c r="AA17" s="50" t="s">
        <v>112</v>
      </c>
    </row>
    <row r="18" spans="2:27" ht="12.75">
      <c r="B18" s="1" t="s">
        <v>47</v>
      </c>
      <c r="C18" s="1" t="s">
        <v>1</v>
      </c>
      <c r="D18" s="1" t="s">
        <v>45</v>
      </c>
      <c r="E18" s="1"/>
      <c r="F18" s="1" t="s">
        <v>1</v>
      </c>
      <c r="G18" s="36">
        <f>IF(ISBLANK(I18),IF(ISBLANK(K18),IF(ISBLANK(M18),IF(ISBLANK(O18),"NO VALUE!",O18*0.0254),M18/1000),K18/100),I18)</f>
        <v>0.000127</v>
      </c>
      <c r="H18" s="1" t="s">
        <v>15</v>
      </c>
      <c r="I18" s="38"/>
      <c r="J18" s="1" t="s">
        <v>15</v>
      </c>
      <c r="K18" s="38"/>
      <c r="L18" s="1" t="s">
        <v>40</v>
      </c>
      <c r="M18" s="38"/>
      <c r="N18" s="1" t="s">
        <v>41</v>
      </c>
      <c r="O18" s="47">
        <v>0.005</v>
      </c>
      <c r="P18" s="1" t="s">
        <v>22</v>
      </c>
      <c r="S18" s="50" t="s">
        <v>111</v>
      </c>
      <c r="T18" s="50" t="s">
        <v>106</v>
      </c>
      <c r="U18" s="50">
        <f>1.5*G30/4-G38/2</f>
        <v>6.312175680318523</v>
      </c>
      <c r="V18" s="52">
        <f>Z11</f>
        <v>4.632033610751527</v>
      </c>
      <c r="W18" s="50" t="s">
        <v>107</v>
      </c>
      <c r="X18" s="50" t="s">
        <v>106</v>
      </c>
      <c r="Y18" s="50">
        <f>1.5*G30/4+G38/2</f>
        <v>6.375931649367258</v>
      </c>
      <c r="Z18" s="50">
        <f>5*O19+Z11</f>
        <v>4.944533610751527</v>
      </c>
      <c r="AA18" s="50" t="s">
        <v>112</v>
      </c>
    </row>
    <row r="19" spans="2:16" ht="12.75">
      <c r="B19" s="1" t="s">
        <v>3</v>
      </c>
      <c r="C19" s="1" t="s">
        <v>1</v>
      </c>
      <c r="D19" s="1" t="s">
        <v>7</v>
      </c>
      <c r="E19" s="1"/>
      <c r="F19" s="1" t="s">
        <v>1</v>
      </c>
      <c r="G19" s="36">
        <f>IF(ISBLANK(I19),IF(ISBLANK(K19),IF(ISBLANK(M19),IF(ISBLANK(O19),"NO VALUE!",O19*0.0254),M19/1000),K19/100),I19)</f>
        <v>0.0015875</v>
      </c>
      <c r="H19" s="1" t="s">
        <v>15</v>
      </c>
      <c r="I19" s="38"/>
      <c r="J19" s="1" t="s">
        <v>15</v>
      </c>
      <c r="K19" s="38"/>
      <c r="L19" s="1" t="s">
        <v>40</v>
      </c>
      <c r="M19" s="38"/>
      <c r="N19" s="1" t="s">
        <v>41</v>
      </c>
      <c r="O19" s="38">
        <v>0.0625</v>
      </c>
      <c r="P19" s="1" t="s">
        <v>22</v>
      </c>
    </row>
    <row r="20" spans="2:18" ht="12.75">
      <c r="B20" s="1" t="s">
        <v>46</v>
      </c>
      <c r="C20" s="1"/>
      <c r="D20" s="1" t="s">
        <v>6</v>
      </c>
      <c r="E20" s="1"/>
      <c r="F20" s="1" t="s">
        <v>1</v>
      </c>
      <c r="G20" s="36">
        <f>IF(ISBLANK(I20),IF(ISBLANK(K20),IF(ISBLANK(M20),IF(ISBLANK(O20),"NO VALUE!",O20*0.0254),M20/1000),K20/100),I20)</f>
        <v>1.7525999999999998E-05</v>
      </c>
      <c r="H20" s="1" t="s">
        <v>15</v>
      </c>
      <c r="I20" s="39"/>
      <c r="J20" s="1" t="s">
        <v>15</v>
      </c>
      <c r="K20" s="39"/>
      <c r="L20" s="1" t="s">
        <v>40</v>
      </c>
      <c r="M20" s="39"/>
      <c r="N20" s="1" t="s">
        <v>41</v>
      </c>
      <c r="O20" s="49">
        <v>0.00069</v>
      </c>
      <c r="P20" s="1" t="s">
        <v>22</v>
      </c>
      <c r="R20" s="50" t="s">
        <v>114</v>
      </c>
    </row>
    <row r="21" ht="12.75">
      <c r="G21" s="8"/>
    </row>
    <row r="22" spans="1:27" ht="12.75">
      <c r="A22" s="4" t="s">
        <v>39</v>
      </c>
      <c r="B22" s="4"/>
      <c r="C22" s="4"/>
      <c r="D22" s="4"/>
      <c r="E22" s="4"/>
      <c r="F22" s="4"/>
      <c r="G22" s="9"/>
      <c r="H22" s="4"/>
      <c r="I22" s="4"/>
      <c r="J22" s="4"/>
      <c r="K22" s="4"/>
      <c r="L22" s="4"/>
      <c r="M22" s="4"/>
      <c r="N22" s="4"/>
      <c r="O22" s="4"/>
      <c r="P22" s="4"/>
      <c r="S22" s="50" t="s">
        <v>111</v>
      </c>
      <c r="T22" s="50" t="s">
        <v>106</v>
      </c>
      <c r="U22" s="50">
        <f>Y15</f>
        <v>-6.312175680318523</v>
      </c>
      <c r="V22" s="52">
        <f>Z15</f>
        <v>4.944533610751527</v>
      </c>
      <c r="W22" s="50" t="s">
        <v>107</v>
      </c>
      <c r="X22" s="50" t="s">
        <v>106</v>
      </c>
      <c r="Y22" s="50">
        <f>U22+(0.5*G30/4-G46)/2</f>
        <v>-6.466466159600307</v>
      </c>
      <c r="Z22" s="52">
        <f>V22+G38</f>
        <v>5.0082895798002625</v>
      </c>
      <c r="AA22" s="50" t="s">
        <v>112</v>
      </c>
    </row>
    <row r="23" spans="7:27" ht="12.75">
      <c r="G23" s="8"/>
      <c r="S23" s="50" t="s">
        <v>111</v>
      </c>
      <c r="T23" s="50" t="s">
        <v>106</v>
      </c>
      <c r="U23" s="50">
        <f>U16</f>
        <v>-2.1465625394719976</v>
      </c>
      <c r="V23" s="52">
        <f>Z16</f>
        <v>4.944533610751527</v>
      </c>
      <c r="W23" s="50" t="s">
        <v>107</v>
      </c>
      <c r="X23" s="50" t="s">
        <v>106</v>
      </c>
      <c r="Y23" s="50">
        <f>U23-(0.5*G30/4-G46)/2</f>
        <v>-1.992272060190214</v>
      </c>
      <c r="Z23" s="52">
        <f>V23+G38</f>
        <v>5.0082895798002625</v>
      </c>
      <c r="AA23" s="50" t="s">
        <v>112</v>
      </c>
    </row>
    <row r="24" spans="2:27" ht="12.75">
      <c r="B24" t="s">
        <v>42</v>
      </c>
      <c r="C24" t="s">
        <v>1</v>
      </c>
      <c r="D24" t="s">
        <v>11</v>
      </c>
      <c r="F24" t="s">
        <v>1</v>
      </c>
      <c r="G24" s="17">
        <f>M24/0.0254</f>
        <v>13.07071171336141</v>
      </c>
      <c r="H24" t="s">
        <v>22</v>
      </c>
      <c r="I24" s="21">
        <f>M24*1000</f>
        <v>331.9960775193798</v>
      </c>
      <c r="J24" s="16" t="s">
        <v>41</v>
      </c>
      <c r="K24" s="20">
        <f>M24*100</f>
        <v>33.19960775193798</v>
      </c>
      <c r="L24" s="16" t="s">
        <v>40</v>
      </c>
      <c r="M24" s="18">
        <f>G9/G14</f>
        <v>0.3319960775193798</v>
      </c>
      <c r="N24" s="19" t="s">
        <v>15</v>
      </c>
      <c r="S24" s="50" t="s">
        <v>111</v>
      </c>
      <c r="T24" s="50" t="s">
        <v>106</v>
      </c>
      <c r="U24" s="50">
        <f>Y17</f>
        <v>2.1465625394719976</v>
      </c>
      <c r="V24" s="52">
        <f>Z17</f>
        <v>4.944533610751527</v>
      </c>
      <c r="W24" s="50" t="s">
        <v>107</v>
      </c>
      <c r="X24" s="50" t="s">
        <v>106</v>
      </c>
      <c r="Y24" s="50">
        <f>U24+(0.5*G30/4-G46)/2</f>
        <v>1.992272060190214</v>
      </c>
      <c r="Z24" s="52">
        <f>V24+G38</f>
        <v>5.0082895798002625</v>
      </c>
      <c r="AA24" s="50" t="s">
        <v>112</v>
      </c>
    </row>
    <row r="25" spans="7:27" ht="12.75">
      <c r="G25" s="3"/>
      <c r="H25" s="3"/>
      <c r="M25" s="17"/>
      <c r="S25" s="50" t="s">
        <v>111</v>
      </c>
      <c r="T25" s="50" t="s">
        <v>106</v>
      </c>
      <c r="U25" s="50">
        <f>U18</f>
        <v>6.312175680318523</v>
      </c>
      <c r="V25" s="52">
        <f>Z18</f>
        <v>4.944533610751527</v>
      </c>
      <c r="W25" s="50" t="s">
        <v>107</v>
      </c>
      <c r="X25" s="50" t="s">
        <v>106</v>
      </c>
      <c r="Y25" s="50">
        <f>U25-(0.5*G30/4-G46)/2</f>
        <v>6.466466159600307</v>
      </c>
      <c r="Z25" s="52">
        <f>V25+G38</f>
        <v>5.0082895798002625</v>
      </c>
      <c r="AA25" s="50" t="s">
        <v>112</v>
      </c>
    </row>
    <row r="26" spans="1:16" ht="12.75">
      <c r="A26" s="4" t="s">
        <v>38</v>
      </c>
      <c r="B26" s="4"/>
      <c r="C26" s="4"/>
      <c r="D26" s="4"/>
      <c r="E26" s="4"/>
      <c r="F26" s="4"/>
      <c r="G26" s="9"/>
      <c r="H26" s="4"/>
      <c r="I26" s="4"/>
      <c r="J26" s="4"/>
      <c r="K26" s="4"/>
      <c r="L26" s="4"/>
      <c r="M26" s="30"/>
      <c r="N26" s="4"/>
      <c r="O26" s="4"/>
      <c r="P26" s="4"/>
    </row>
    <row r="27" spans="7:18" ht="12.75">
      <c r="G27" s="8"/>
      <c r="M27" s="17"/>
      <c r="R27" s="50" t="s">
        <v>115</v>
      </c>
    </row>
    <row r="28" spans="2:15" ht="12.75">
      <c r="B28" s="27" t="s">
        <v>48</v>
      </c>
      <c r="C28" s="27" t="s">
        <v>1</v>
      </c>
      <c r="D28" s="27" t="s">
        <v>31</v>
      </c>
      <c r="E28" s="27"/>
      <c r="F28" s="27" t="s">
        <v>1</v>
      </c>
      <c r="G28" s="40">
        <f>M28/0.0254</f>
        <v>5.385000000000001</v>
      </c>
      <c r="H28" s="27" t="s">
        <v>22</v>
      </c>
      <c r="I28" s="33">
        <f>M28*1000</f>
        <v>136.77900000000002</v>
      </c>
      <c r="J28" s="29" t="s">
        <v>41</v>
      </c>
      <c r="K28" s="28">
        <f>M28*100</f>
        <v>13.677900000000001</v>
      </c>
      <c r="L28" s="29" t="s">
        <v>40</v>
      </c>
      <c r="M28" s="25">
        <f>G17+2*G18+2*G19</f>
        <v>0.136779</v>
      </c>
      <c r="N28" s="29" t="s">
        <v>15</v>
      </c>
      <c r="O28" s="54" t="s">
        <v>137</v>
      </c>
    </row>
    <row r="29" spans="2:27" ht="12.75">
      <c r="B29" s="27" t="s">
        <v>49</v>
      </c>
      <c r="C29" s="27" t="s">
        <v>1</v>
      </c>
      <c r="D29" s="27" t="s">
        <v>30</v>
      </c>
      <c r="E29" s="27"/>
      <c r="F29" s="27" t="s">
        <v>1</v>
      </c>
      <c r="G29" s="40">
        <f>M29/0.0254</f>
        <v>4.319533610751527</v>
      </c>
      <c r="H29" s="27" t="s">
        <v>22</v>
      </c>
      <c r="I29" s="33">
        <f>M29*1000</f>
        <v>109.71615371308879</v>
      </c>
      <c r="J29" s="29" t="s">
        <v>41</v>
      </c>
      <c r="K29" s="28">
        <f>M29*100</f>
        <v>10.971615371308879</v>
      </c>
      <c r="L29" s="29" t="s">
        <v>40</v>
      </c>
      <c r="M29" s="55">
        <f>$M$24/(2*SQRT($G13))</f>
        <v>0.1097161537130888</v>
      </c>
      <c r="N29" s="54" t="s">
        <v>15</v>
      </c>
      <c r="O29" s="57">
        <v>0.10964971348057793</v>
      </c>
      <c r="P29" s="56">
        <f>O29-M29</f>
        <v>-6.644023251085873E-05</v>
      </c>
      <c r="S29" s="50" t="s">
        <v>111</v>
      </c>
      <c r="T29" s="50" t="s">
        <v>106</v>
      </c>
      <c r="U29" s="50">
        <f>Y22</f>
        <v>-6.466466159600307</v>
      </c>
      <c r="V29" s="50">
        <f>V22+(Z22-V22)/2-$G$45/2</f>
        <v>4.947009455117252</v>
      </c>
      <c r="W29" s="50" t="s">
        <v>107</v>
      </c>
      <c r="X29" s="50" t="s">
        <v>106</v>
      </c>
      <c r="Y29" s="52">
        <f>U29+$G$46</f>
        <v>-4.04320064608911</v>
      </c>
      <c r="Z29" s="50">
        <f>V22+(Z22-V22)/2+$G$45/2</f>
        <v>5.005813735434538</v>
      </c>
      <c r="AA29" s="50" t="s">
        <v>112</v>
      </c>
    </row>
    <row r="30" spans="2:27" ht="12.75">
      <c r="B30" s="27" t="s">
        <v>50</v>
      </c>
      <c r="C30" s="27" t="s">
        <v>1</v>
      </c>
      <c r="D30" s="27" t="s">
        <v>32</v>
      </c>
      <c r="E30" s="27"/>
      <c r="F30" s="27" t="s">
        <v>1</v>
      </c>
      <c r="G30" s="40">
        <f>M30/0.0254</f>
        <v>16.91747643958104</v>
      </c>
      <c r="H30" s="27" t="s">
        <v>22</v>
      </c>
      <c r="I30" s="33">
        <f>M30*1000</f>
        <v>429.70390156535836</v>
      </c>
      <c r="J30" s="29" t="s">
        <v>41</v>
      </c>
      <c r="K30" s="28">
        <f>M30*100</f>
        <v>42.970390156535835</v>
      </c>
      <c r="L30" s="29" t="s">
        <v>40</v>
      </c>
      <c r="M30" s="25">
        <f>PI()*$M$28</f>
        <v>0.42970390156535837</v>
      </c>
      <c r="N30" s="29" t="s">
        <v>15</v>
      </c>
      <c r="S30" s="50" t="s">
        <v>111</v>
      </c>
      <c r="T30" s="50" t="s">
        <v>106</v>
      </c>
      <c r="U30" s="52">
        <f>Y30-$G$46</f>
        <v>-4.415537573701411</v>
      </c>
      <c r="V30" s="50">
        <f>V23+(Z23-V23)/2-$G$45/2</f>
        <v>4.947009455117252</v>
      </c>
      <c r="W30" s="50" t="s">
        <v>107</v>
      </c>
      <c r="X30" s="50" t="s">
        <v>106</v>
      </c>
      <c r="Y30" s="50">
        <f>Y23</f>
        <v>-1.992272060190214</v>
      </c>
      <c r="Z30" s="50">
        <f>V23+(Z23-V23)/2+$G$45/2</f>
        <v>5.005813735434538</v>
      </c>
      <c r="AA30" s="50" t="s">
        <v>112</v>
      </c>
    </row>
    <row r="31" spans="2:27" ht="12.75">
      <c r="B31" s="27" t="s">
        <v>33</v>
      </c>
      <c r="C31" s="27" t="s">
        <v>1</v>
      </c>
      <c r="D31" s="27" t="s">
        <v>34</v>
      </c>
      <c r="E31" s="27"/>
      <c r="F31" s="27" t="s">
        <v>1</v>
      </c>
      <c r="G31" s="22">
        <f>IF(I31&lt;1,1,IF(I31&lt;2,2,IF(I31&lt;4,4,IF(I31&lt;8,8,IF(I31&lt;16,16,"Error! Too many Lambda")))))</f>
        <v>2</v>
      </c>
      <c r="H31" s="46" t="s">
        <v>102</v>
      </c>
      <c r="I31" s="11">
        <f>M30/(M24/SQRT($G$13))</f>
        <v>1.9582526684677977</v>
      </c>
      <c r="J31" s="29" t="s">
        <v>102</v>
      </c>
      <c r="M31" s="17"/>
      <c r="S31" s="50" t="s">
        <v>111</v>
      </c>
      <c r="T31" s="50" t="s">
        <v>106</v>
      </c>
      <c r="U31" s="50">
        <f>Y24</f>
        <v>1.992272060190214</v>
      </c>
      <c r="V31" s="50">
        <f>V24+(Z24-V24)/2-$G$45/2</f>
        <v>4.947009455117252</v>
      </c>
      <c r="W31" s="50" t="s">
        <v>107</v>
      </c>
      <c r="X31" s="50" t="s">
        <v>106</v>
      </c>
      <c r="Y31" s="52">
        <f>U31+$G$46</f>
        <v>4.415537573701411</v>
      </c>
      <c r="Z31" s="50">
        <f>V24+(Z24-V24)/2+$G$45/2</f>
        <v>5.005813735434538</v>
      </c>
      <c r="AA31" s="50" t="s">
        <v>112</v>
      </c>
    </row>
    <row r="32" spans="2:27" ht="12.75">
      <c r="B32" s="27" t="s">
        <v>36</v>
      </c>
      <c r="C32" s="27" t="s">
        <v>1</v>
      </c>
      <c r="D32" s="27" t="s">
        <v>35</v>
      </c>
      <c r="E32" s="27"/>
      <c r="F32" s="27" t="s">
        <v>1</v>
      </c>
      <c r="G32" s="23">
        <f>IF(ISBLANK($G$15),G31*60*M24/M30,$G$15)</f>
        <v>92.71391103779855</v>
      </c>
      <c r="H32" s="22" t="s">
        <v>10</v>
      </c>
      <c r="I32" s="6"/>
      <c r="J32" s="6"/>
      <c r="M32" s="17"/>
      <c r="N32" t="s">
        <v>138</v>
      </c>
      <c r="O32">
        <v>0.05781</v>
      </c>
      <c r="S32" s="50" t="s">
        <v>111</v>
      </c>
      <c r="T32" s="50" t="s">
        <v>106</v>
      </c>
      <c r="U32" s="52">
        <f>Y32-$G$46</f>
        <v>4.04320064608911</v>
      </c>
      <c r="V32" s="50">
        <f>V25+(Z25-V25)/2-$G$45/2</f>
        <v>4.947009455117252</v>
      </c>
      <c r="W32" s="50" t="s">
        <v>107</v>
      </c>
      <c r="X32" s="50" t="s">
        <v>106</v>
      </c>
      <c r="Y32" s="50">
        <f>Y25</f>
        <v>6.466466159600307</v>
      </c>
      <c r="Z32" s="50">
        <f>V25+(Z25-V25)/2+$G$45/2</f>
        <v>5.005813735434538</v>
      </c>
      <c r="AA32" s="50" t="s">
        <v>112</v>
      </c>
    </row>
    <row r="33" ht="12.75">
      <c r="M33" s="17"/>
    </row>
    <row r="34" spans="1:18" ht="12.75">
      <c r="A34" s="4" t="s">
        <v>37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0"/>
      <c r="N34" s="4"/>
      <c r="O34" s="4"/>
      <c r="P34" s="4"/>
      <c r="R34" s="50" t="s">
        <v>116</v>
      </c>
    </row>
    <row r="35" spans="1:13" ht="12.75">
      <c r="A35" s="6"/>
      <c r="B35" s="6"/>
      <c r="C35" s="6"/>
      <c r="D35" s="6"/>
      <c r="E35" s="6"/>
      <c r="F35" s="6"/>
      <c r="G35" s="6"/>
      <c r="H35" s="6"/>
      <c r="I35" s="6"/>
      <c r="M35" s="17"/>
    </row>
    <row r="36" spans="1:27" ht="12.75">
      <c r="A36" s="6"/>
      <c r="B36" s="27" t="s">
        <v>65</v>
      </c>
      <c r="C36" s="27" t="s">
        <v>1</v>
      </c>
      <c r="D36" s="27" t="s">
        <v>54</v>
      </c>
      <c r="E36" s="27"/>
      <c r="F36" s="27" t="s">
        <v>1</v>
      </c>
      <c r="G36" s="24">
        <f>G57/0.0254</f>
        <v>0.18776195622622177</v>
      </c>
      <c r="H36" s="22" t="s">
        <v>22</v>
      </c>
      <c r="I36" s="33">
        <f>G36*25.4</f>
        <v>4.769153688146033</v>
      </c>
      <c r="J36" s="29" t="s">
        <v>41</v>
      </c>
      <c r="K36" s="28">
        <f>G36*2.54</f>
        <v>0.4769153688146033</v>
      </c>
      <c r="L36" s="29" t="s">
        <v>40</v>
      </c>
      <c r="M36" s="25">
        <f>G36*0.0254</f>
        <v>0.004769153688146033</v>
      </c>
      <c r="N36" s="29" t="s">
        <v>15</v>
      </c>
      <c r="S36" s="50" t="s">
        <v>111</v>
      </c>
      <c r="T36" s="50" t="s">
        <v>106</v>
      </c>
      <c r="U36" s="52">
        <f>Y29</f>
        <v>-4.04320064608911</v>
      </c>
      <c r="V36" s="50">
        <f>V22+(Z22-V22)/2-$G$37/2</f>
        <v>4.949358908285316</v>
      </c>
      <c r="W36" s="50" t="s">
        <v>107</v>
      </c>
      <c r="X36" s="50" t="s">
        <v>106</v>
      </c>
      <c r="Y36" s="52">
        <f>U30</f>
        <v>-4.415537573701411</v>
      </c>
      <c r="Z36" s="50">
        <f>V22+(Z22-V22)/2+$G$37/2</f>
        <v>5.003464282266473</v>
      </c>
      <c r="AA36" s="50" t="s">
        <v>112</v>
      </c>
    </row>
    <row r="37" spans="2:41" s="6" customFormat="1" ht="12.75">
      <c r="B37" s="27" t="s">
        <v>72</v>
      </c>
      <c r="C37" s="27" t="s">
        <v>1</v>
      </c>
      <c r="D37" s="27" t="s">
        <v>57</v>
      </c>
      <c r="E37" s="27"/>
      <c r="F37" s="27" t="s">
        <v>1</v>
      </c>
      <c r="G37" s="24">
        <f>G67/0.0254</f>
        <v>0.0541053739811571</v>
      </c>
      <c r="H37" s="22" t="s">
        <v>22</v>
      </c>
      <c r="I37" s="33">
        <f>G37*25.4</f>
        <v>1.3742764991213903</v>
      </c>
      <c r="J37" s="29" t="s">
        <v>41</v>
      </c>
      <c r="K37" s="28">
        <f>G37*2.54</f>
        <v>0.13742764991213904</v>
      </c>
      <c r="L37" s="29" t="s">
        <v>40</v>
      </c>
      <c r="M37" s="25">
        <f>G37*0.0254</f>
        <v>0.0013742764991213903</v>
      </c>
      <c r="N37" s="29" t="s">
        <v>15</v>
      </c>
      <c r="S37" s="50" t="s">
        <v>111</v>
      </c>
      <c r="T37" s="50" t="s">
        <v>106</v>
      </c>
      <c r="U37" s="52">
        <f>Y31</f>
        <v>4.415537573701411</v>
      </c>
      <c r="V37" s="50">
        <f>V23+(Z23-V23)/2-$G$37/2</f>
        <v>4.949358908285316</v>
      </c>
      <c r="W37" s="50" t="s">
        <v>107</v>
      </c>
      <c r="X37" s="50" t="s">
        <v>106</v>
      </c>
      <c r="Y37" s="52">
        <f>U32</f>
        <v>4.04320064608911</v>
      </c>
      <c r="Z37" s="50">
        <f>V23+(Z23-V23)/2+$G$37/2</f>
        <v>5.003464282266473</v>
      </c>
      <c r="AA37" s="50" t="s">
        <v>112</v>
      </c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</row>
    <row r="38" spans="2:41" s="6" customFormat="1" ht="12.75">
      <c r="B38" s="27" t="s">
        <v>68</v>
      </c>
      <c r="C38" s="27" t="s">
        <v>1</v>
      </c>
      <c r="D38" s="27" t="s">
        <v>69</v>
      </c>
      <c r="E38" s="27"/>
      <c r="F38" s="27" t="s">
        <v>1</v>
      </c>
      <c r="G38" s="24">
        <f>G74/0.0254</f>
        <v>0.06375596904873544</v>
      </c>
      <c r="H38" s="22" t="s">
        <v>22</v>
      </c>
      <c r="I38" s="33">
        <f>G38*25.4</f>
        <v>1.6194016138378802</v>
      </c>
      <c r="J38" s="29" t="s">
        <v>41</v>
      </c>
      <c r="K38" s="28">
        <f>G38*2.54</f>
        <v>0.16194016138378803</v>
      </c>
      <c r="L38" s="29" t="s">
        <v>40</v>
      </c>
      <c r="M38" s="25">
        <f>G38*0.0254</f>
        <v>0.0016194016138378802</v>
      </c>
      <c r="N38" s="29" t="s">
        <v>15</v>
      </c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</row>
    <row r="39" spans="1:18" ht="12.75">
      <c r="A39" s="6"/>
      <c r="B39" s="6"/>
      <c r="C39" s="6"/>
      <c r="D39" s="6"/>
      <c r="E39" s="6"/>
      <c r="F39" s="6"/>
      <c r="G39" s="6"/>
      <c r="H39" s="6"/>
      <c r="I39" s="41"/>
      <c r="K39" s="14"/>
      <c r="M39" s="10"/>
      <c r="R39" s="50" t="s">
        <v>117</v>
      </c>
    </row>
    <row r="40" spans="1:13" ht="12.75">
      <c r="A40" s="6"/>
      <c r="B40" s="27" t="s">
        <v>55</v>
      </c>
      <c r="C40" s="27" t="s">
        <v>1</v>
      </c>
      <c r="D40" s="27" t="s">
        <v>60</v>
      </c>
      <c r="E40" s="27"/>
      <c r="F40" s="27" t="s">
        <v>1</v>
      </c>
      <c r="G40" s="26">
        <f>G78</f>
        <v>70.71067811865476</v>
      </c>
      <c r="H40" s="27" t="s">
        <v>71</v>
      </c>
      <c r="I40" s="41"/>
      <c r="K40" s="14"/>
      <c r="M40" s="10"/>
    </row>
    <row r="41" spans="1:27" ht="12.75">
      <c r="A41" s="6"/>
      <c r="B41" s="27" t="s">
        <v>64</v>
      </c>
      <c r="C41" s="27" t="s">
        <v>1</v>
      </c>
      <c r="D41" s="27" t="s">
        <v>59</v>
      </c>
      <c r="E41" s="27"/>
      <c r="F41" s="27" t="s">
        <v>1</v>
      </c>
      <c r="G41" s="24">
        <f>G83/0.0254</f>
        <v>0.10732071817379553</v>
      </c>
      <c r="H41" s="22" t="s">
        <v>22</v>
      </c>
      <c r="I41" s="33">
        <f>G41*25.4</f>
        <v>2.7259462416144062</v>
      </c>
      <c r="J41" s="29" t="s">
        <v>41</v>
      </c>
      <c r="K41" s="28">
        <f>G41*2.54</f>
        <v>0.27259462416144065</v>
      </c>
      <c r="L41" s="29" t="s">
        <v>40</v>
      </c>
      <c r="M41" s="25">
        <f>G41*0.0254</f>
        <v>0.0027259462416144064</v>
      </c>
      <c r="N41" s="29" t="s">
        <v>15</v>
      </c>
      <c r="S41" s="50" t="s">
        <v>111</v>
      </c>
      <c r="T41" s="50" t="s">
        <v>106</v>
      </c>
      <c r="U41" s="52">
        <f>-$G$30/4-$G$36/2</f>
        <v>-4.323250088008371</v>
      </c>
      <c r="V41" s="50">
        <f>Z36</f>
        <v>5.003464282266473</v>
      </c>
      <c r="W41" s="50" t="s">
        <v>107</v>
      </c>
      <c r="X41" s="50" t="s">
        <v>106</v>
      </c>
      <c r="Y41" s="52">
        <f>-$G$30/4+$G$36/2</f>
        <v>-4.135488131782149</v>
      </c>
      <c r="Z41" s="50">
        <f>Z23+5*$O$19</f>
        <v>5.3207895798002625</v>
      </c>
      <c r="AA41" s="50" t="s">
        <v>112</v>
      </c>
    </row>
    <row r="42" spans="2:41" s="6" customFormat="1" ht="12.75">
      <c r="B42" s="27" t="s">
        <v>61</v>
      </c>
      <c r="C42" s="27" t="s">
        <v>1</v>
      </c>
      <c r="D42" s="27" t="s">
        <v>56</v>
      </c>
      <c r="E42" s="27"/>
      <c r="F42" s="27" t="s">
        <v>1</v>
      </c>
      <c r="G42" s="24">
        <f>G86/0.0254</f>
        <v>2.4470177827174737</v>
      </c>
      <c r="H42" s="22" t="s">
        <v>22</v>
      </c>
      <c r="I42" s="33">
        <f>G42*25.4</f>
        <v>62.15425168102383</v>
      </c>
      <c r="J42" s="29" t="s">
        <v>41</v>
      </c>
      <c r="K42" s="28">
        <f>G42*2.54</f>
        <v>6.215425168102383</v>
      </c>
      <c r="L42" s="29" t="s">
        <v>40</v>
      </c>
      <c r="M42" s="25">
        <f>G42*0.0254</f>
        <v>0.06215425168102383</v>
      </c>
      <c r="N42" s="29" t="s">
        <v>15</v>
      </c>
      <c r="S42" s="50" t="s">
        <v>111</v>
      </c>
      <c r="T42" s="50" t="s">
        <v>106</v>
      </c>
      <c r="U42" s="52">
        <f>$G$30/4-$G$36/2</f>
        <v>4.135488131782149</v>
      </c>
      <c r="V42" s="50">
        <f>Z37</f>
        <v>5.003464282266473</v>
      </c>
      <c r="W42" s="50" t="s">
        <v>107</v>
      </c>
      <c r="X42" s="50" t="s">
        <v>106</v>
      </c>
      <c r="Y42" s="52">
        <f>$G$30/4+$G$36/2</f>
        <v>4.323250088008371</v>
      </c>
      <c r="Z42" s="50">
        <f>Z24+5*$O$19</f>
        <v>5.3207895798002625</v>
      </c>
      <c r="AA42" s="50" t="s">
        <v>112</v>
      </c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</row>
    <row r="43" spans="9:41" s="6" customFormat="1" ht="12.75">
      <c r="I43" s="41"/>
      <c r="K43" s="15"/>
      <c r="M43" s="1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</row>
    <row r="44" spans="2:41" s="6" customFormat="1" ht="12.75">
      <c r="B44" s="27" t="s">
        <v>58</v>
      </c>
      <c r="C44" s="27" t="s">
        <v>1</v>
      </c>
      <c r="D44" s="27" t="s">
        <v>66</v>
      </c>
      <c r="E44" s="27"/>
      <c r="F44" s="27" t="s">
        <v>1</v>
      </c>
      <c r="G44" s="23">
        <f>G90</f>
        <v>96.28806314273777</v>
      </c>
      <c r="H44" s="22" t="s">
        <v>71</v>
      </c>
      <c r="I44" s="41"/>
      <c r="K44" s="15"/>
      <c r="M44" s="12"/>
      <c r="R44" s="50" t="s">
        <v>118</v>
      </c>
      <c r="T44" s="50"/>
      <c r="U44" s="50"/>
      <c r="V44" s="50"/>
      <c r="W44" s="50"/>
      <c r="X44" s="50"/>
      <c r="Y44" s="50"/>
      <c r="Z44" s="50"/>
      <c r="AA44" s="50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pans="2:41" s="6" customFormat="1" ht="12.75">
      <c r="B45" s="27" t="s">
        <v>63</v>
      </c>
      <c r="C45" s="27" t="s">
        <v>1</v>
      </c>
      <c r="D45" s="27" t="s">
        <v>67</v>
      </c>
      <c r="E45" s="27"/>
      <c r="F45" s="27" t="s">
        <v>1</v>
      </c>
      <c r="G45" s="24">
        <f>G95/0.0254</f>
        <v>0.058804280317286364</v>
      </c>
      <c r="H45" s="22" t="s">
        <v>22</v>
      </c>
      <c r="I45" s="33">
        <f>G45*25.4</f>
        <v>1.4936287200590737</v>
      </c>
      <c r="J45" s="29" t="s">
        <v>41</v>
      </c>
      <c r="K45" s="28">
        <f>G45*2.54</f>
        <v>0.14936287200590737</v>
      </c>
      <c r="L45" s="29" t="s">
        <v>40</v>
      </c>
      <c r="M45" s="25">
        <f>G45*0.0254</f>
        <v>0.0014936287200590737</v>
      </c>
      <c r="N45" s="29" t="s">
        <v>15</v>
      </c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</row>
    <row r="46" spans="2:41" s="6" customFormat="1" ht="12.75">
      <c r="B46" s="27" t="s">
        <v>62</v>
      </c>
      <c r="C46" s="27" t="s">
        <v>1</v>
      </c>
      <c r="D46" s="27" t="s">
        <v>56</v>
      </c>
      <c r="E46" s="27"/>
      <c r="F46" s="27" t="s">
        <v>1</v>
      </c>
      <c r="G46" s="24">
        <f>G98/0.0254</f>
        <v>2.4232655135111973</v>
      </c>
      <c r="H46" s="22" t="s">
        <v>22</v>
      </c>
      <c r="I46" s="33">
        <f>G46*25.4</f>
        <v>61.55094404318441</v>
      </c>
      <c r="J46" s="29" t="s">
        <v>41</v>
      </c>
      <c r="K46" s="28">
        <f>G46*2.54</f>
        <v>6.155094404318441</v>
      </c>
      <c r="L46" s="29" t="s">
        <v>40</v>
      </c>
      <c r="M46" s="25">
        <f>G46*0.0254</f>
        <v>0.06155094404318441</v>
      </c>
      <c r="N46" s="29" t="s">
        <v>15</v>
      </c>
      <c r="S46" s="50" t="s">
        <v>111</v>
      </c>
      <c r="T46" s="50" t="s">
        <v>106</v>
      </c>
      <c r="U46" s="52">
        <f>Y41</f>
        <v>-4.135488131782149</v>
      </c>
      <c r="V46" s="50">
        <f>Z41</f>
        <v>5.3207895798002625</v>
      </c>
      <c r="W46" s="50" t="s">
        <v>107</v>
      </c>
      <c r="X46" s="50" t="s">
        <v>106</v>
      </c>
      <c r="Y46" s="52">
        <f>U46+((U42-Y41)-2*$G$46)/3</f>
        <v>-2.9940063862681816</v>
      </c>
      <c r="Z46" s="52">
        <f>V46+$G$36</f>
        <v>5.508551536026484</v>
      </c>
      <c r="AA46" s="50" t="s">
        <v>112</v>
      </c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</row>
    <row r="47" spans="19:41" s="6" customFormat="1" ht="12.75">
      <c r="S47" s="50" t="s">
        <v>111</v>
      </c>
      <c r="T47" s="50" t="s">
        <v>106</v>
      </c>
      <c r="U47" s="52">
        <f>U42</f>
        <v>4.135488131782149</v>
      </c>
      <c r="V47" s="50">
        <f>Z42</f>
        <v>5.3207895798002625</v>
      </c>
      <c r="W47" s="50" t="s">
        <v>107</v>
      </c>
      <c r="X47" s="50" t="s">
        <v>106</v>
      </c>
      <c r="Y47" s="52">
        <f>U47-((U42-Y41)-2*$G$46)/3</f>
        <v>2.9940063862681816</v>
      </c>
      <c r="Z47" s="52">
        <f>V47+$G$36</f>
        <v>5.508551536026484</v>
      </c>
      <c r="AA47" s="50" t="s">
        <v>112</v>
      </c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</row>
    <row r="48" spans="1:41" s="6" customFormat="1" ht="12.75">
      <c r="A48" s="4" t="s">
        <v>70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</row>
    <row r="49" spans="18:41" s="6" customFormat="1" ht="12.75">
      <c r="R49" s="51" t="s">
        <v>119</v>
      </c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</row>
    <row r="50" ht="12.75">
      <c r="A50" s="5" t="s">
        <v>73</v>
      </c>
    </row>
    <row r="51" spans="19:27" ht="12.75">
      <c r="S51" s="50" t="s">
        <v>111</v>
      </c>
      <c r="T51" s="50" t="s">
        <v>106</v>
      </c>
      <c r="U51" s="52">
        <f>Y46</f>
        <v>-2.9940063862681816</v>
      </c>
      <c r="V51" s="50">
        <f>Z46+(V46-Z46)/2-$G$41/2</f>
        <v>5.361010198826476</v>
      </c>
      <c r="W51" s="50" t="s">
        <v>107</v>
      </c>
      <c r="X51" s="50" t="s">
        <v>106</v>
      </c>
      <c r="Y51" s="52">
        <f>U51+$G$42</f>
        <v>-0.5469886035507079</v>
      </c>
      <c r="Z51" s="52">
        <f>V51+$G$41</f>
        <v>5.468330917000271</v>
      </c>
      <c r="AA51" s="50" t="s">
        <v>112</v>
      </c>
    </row>
    <row r="52" spans="2:27" ht="12.75">
      <c r="B52" t="s">
        <v>27</v>
      </c>
      <c r="C52" t="s">
        <v>1</v>
      </c>
      <c r="D52" t="s">
        <v>29</v>
      </c>
      <c r="F52" t="s">
        <v>1</v>
      </c>
      <c r="G52">
        <v>50</v>
      </c>
      <c r="H52" t="s">
        <v>10</v>
      </c>
      <c r="S52" s="50" t="s">
        <v>111</v>
      </c>
      <c r="T52" s="50" t="s">
        <v>106</v>
      </c>
      <c r="U52" s="52">
        <f>Y47</f>
        <v>2.9940063862681816</v>
      </c>
      <c r="V52" s="50">
        <f>Z47+(V47-Z47)/2-$G$41/2</f>
        <v>5.361010198826476</v>
      </c>
      <c r="W52" s="50" t="s">
        <v>107</v>
      </c>
      <c r="X52" s="50" t="s">
        <v>106</v>
      </c>
      <c r="Y52" s="52">
        <f>U52-$G$42</f>
        <v>0.5469886035507079</v>
      </c>
      <c r="Z52" s="52">
        <f>V52+$G$41</f>
        <v>5.468330917000271</v>
      </c>
      <c r="AA52" s="50" t="s">
        <v>112</v>
      </c>
    </row>
    <row r="54" spans="2:18" ht="12.75">
      <c r="B54" t="s">
        <v>16</v>
      </c>
      <c r="C54" t="s">
        <v>1</v>
      </c>
      <c r="D54" t="s">
        <v>17</v>
      </c>
      <c r="F54" t="s">
        <v>1</v>
      </c>
      <c r="G54" s="14">
        <f>377*PI()/(2*G52*SQRT($G$13))</f>
        <v>7.8281446171196425</v>
      </c>
      <c r="I54" t="s">
        <v>52</v>
      </c>
      <c r="K54">
        <f>2/PI()*(G54-1-LN(2*G54-1)+(($G$13-1)/(2*$G$13)*(LN(G54-1)+0.39-0.61/$G$13)))</f>
        <v>3.0041912996195483</v>
      </c>
      <c r="R54" s="50" t="s">
        <v>116</v>
      </c>
    </row>
    <row r="55" spans="2:11" ht="12.75">
      <c r="B55" t="s">
        <v>23</v>
      </c>
      <c r="C55" t="s">
        <v>1</v>
      </c>
      <c r="D55" t="s">
        <v>19</v>
      </c>
      <c r="F55" t="s">
        <v>1</v>
      </c>
      <c r="G55" s="14">
        <f>G52/60*SQRT(($G$13+1)/2)+($G$13-1)/($G$13+1)*(0.23+0.11/$G$13)</f>
        <v>1.1776446351690886</v>
      </c>
      <c r="I55" t="s">
        <v>53</v>
      </c>
      <c r="K55">
        <f>8*EXP(G55)/(EXP(2*G55)-2)</f>
        <v>3.0410026435598763</v>
      </c>
    </row>
    <row r="56" spans="19:27" ht="12.75">
      <c r="S56" s="50" t="s">
        <v>111</v>
      </c>
      <c r="T56" s="50" t="s">
        <v>106</v>
      </c>
      <c r="U56" s="52">
        <f>Y51</f>
        <v>-0.5469886035507079</v>
      </c>
      <c r="V56" s="50">
        <f>V51+(Z51-V51)/2-$G$37/2</f>
        <v>5.387617870922795</v>
      </c>
      <c r="W56" s="50" t="s">
        <v>107</v>
      </c>
      <c r="X56" s="50" t="s">
        <v>106</v>
      </c>
      <c r="Y56" s="52">
        <f>Y52</f>
        <v>0.5469886035507079</v>
      </c>
      <c r="Z56" s="50">
        <f>V51+(Z51-V51)/2+$G$37/2</f>
        <v>5.441723244903952</v>
      </c>
      <c r="AA56" s="50" t="s">
        <v>112</v>
      </c>
    </row>
    <row r="57" spans="2:8" ht="12.75">
      <c r="B57" t="s">
        <v>65</v>
      </c>
      <c r="C57" t="s">
        <v>1</v>
      </c>
      <c r="D57" t="s">
        <v>77</v>
      </c>
      <c r="F57" t="s">
        <v>1</v>
      </c>
      <c r="G57" s="10">
        <f>IF(AND(K54&gt;2,K55&gt;2),K54*$G$19,K55*$G$19)</f>
        <v>0.004769153688146033</v>
      </c>
      <c r="H57" t="s">
        <v>15</v>
      </c>
    </row>
    <row r="58" ht="12.75">
      <c r="R58" s="50" t="s">
        <v>121</v>
      </c>
    </row>
    <row r="59" ht="12.75">
      <c r="A59" s="5" t="s">
        <v>74</v>
      </c>
    </row>
    <row r="60" spans="19:25" ht="12.75">
      <c r="S60" s="50" t="s">
        <v>120</v>
      </c>
      <c r="T60" s="50">
        <v>0.042</v>
      </c>
      <c r="U60" s="50" t="s">
        <v>122</v>
      </c>
      <c r="V60" s="50" t="s">
        <v>106</v>
      </c>
      <c r="W60" s="50">
        <v>0</v>
      </c>
      <c r="X60" s="50">
        <f>V56+(Z56-V56)/2</f>
        <v>5.414670557913373</v>
      </c>
      <c r="Y60" s="50" t="s">
        <v>112</v>
      </c>
    </row>
    <row r="61" spans="2:8" ht="12.75">
      <c r="B61" t="s">
        <v>28</v>
      </c>
      <c r="C61" t="s">
        <v>1</v>
      </c>
      <c r="D61" t="s">
        <v>29</v>
      </c>
      <c r="F61" t="s">
        <v>1</v>
      </c>
      <c r="G61">
        <v>100</v>
      </c>
      <c r="H61" t="s">
        <v>10</v>
      </c>
    </row>
    <row r="62" ht="12.75">
      <c r="R62" t="s">
        <v>123</v>
      </c>
    </row>
    <row r="63" spans="1:11" ht="12.75">
      <c r="A63" s="7"/>
      <c r="B63" t="s">
        <v>16</v>
      </c>
      <c r="C63" t="s">
        <v>1</v>
      </c>
      <c r="D63" t="s">
        <v>17</v>
      </c>
      <c r="F63" t="s">
        <v>1</v>
      </c>
      <c r="G63" s="14">
        <f>377*PI()/(2*G61*SQRT($G$13))</f>
        <v>3.9140723085598212</v>
      </c>
      <c r="I63" t="s">
        <v>52</v>
      </c>
      <c r="K63">
        <f>2/PI()*(G63-1-LN(2*G63-1)+(($G$13-1)/(2*$G$13)*(LN(G63-1)+0.39-0.61/$G$13)))</f>
        <v>0.8460400627717087</v>
      </c>
    </row>
    <row r="64" spans="1:27" ht="12.75">
      <c r="A64" s="7"/>
      <c r="G64" s="14"/>
      <c r="S64" s="50" t="s">
        <v>111</v>
      </c>
      <c r="T64" s="50" t="s">
        <v>106</v>
      </c>
      <c r="U64" s="50">
        <f>U22</f>
        <v>-6.312175680318523</v>
      </c>
      <c r="V64" s="52">
        <f>V22</f>
        <v>4.944533610751527</v>
      </c>
      <c r="W64" s="50" t="s">
        <v>107</v>
      </c>
      <c r="X64" s="50" t="s">
        <v>106</v>
      </c>
      <c r="Y64" s="50">
        <f>U64-$G$38/4</f>
        <v>-6.328114672580707</v>
      </c>
      <c r="Z64" s="50">
        <f>V64+$G$38/4</f>
        <v>4.960472603013711</v>
      </c>
      <c r="AA64" s="50" t="s">
        <v>112</v>
      </c>
    </row>
    <row r="65" spans="2:28" ht="12.75">
      <c r="B65" t="s">
        <v>23</v>
      </c>
      <c r="C65" t="s">
        <v>1</v>
      </c>
      <c r="D65" t="s">
        <v>19</v>
      </c>
      <c r="F65" t="s">
        <v>1</v>
      </c>
      <c r="G65" s="14">
        <f>G61/60*SQRT(($G$13+1)/2)+($G$13-1)/($G$13+1)*(0.23+0.11/$G$13)</f>
        <v>2.2463113798145424</v>
      </c>
      <c r="I65" t="s">
        <v>53</v>
      </c>
      <c r="K65">
        <f>8*EXP(G65)/(EXP(2*G65)-2)</f>
        <v>0.8656859836985136</v>
      </c>
      <c r="S65" s="50" t="s">
        <v>105</v>
      </c>
      <c r="T65" s="50">
        <v>0.05</v>
      </c>
      <c r="U65" s="50" t="s">
        <v>106</v>
      </c>
      <c r="V65" s="50">
        <f>U15+T65/2</f>
        <v>-6.350931649367258</v>
      </c>
      <c r="W65" s="50">
        <f>Z15-0.2*T65</f>
        <v>4.934533610751528</v>
      </c>
      <c r="X65" s="50" t="s">
        <v>107</v>
      </c>
      <c r="Y65" s="50" t="s">
        <v>106</v>
      </c>
      <c r="Z65" s="50">
        <f>U22+0.2*T65</f>
        <v>-6.302175680318523</v>
      </c>
      <c r="AA65" s="50">
        <f>Z22-T65/2</f>
        <v>4.983289579800262</v>
      </c>
      <c r="AB65" s="50" t="s">
        <v>112</v>
      </c>
    </row>
    <row r="66" spans="19:28" ht="12.75">
      <c r="S66" s="50" t="s">
        <v>105</v>
      </c>
      <c r="T66" s="50">
        <v>0.05</v>
      </c>
      <c r="U66" s="50" t="s">
        <v>106</v>
      </c>
      <c r="V66" s="50">
        <f>V65+T66</f>
        <v>-6.300931649367258</v>
      </c>
      <c r="W66" s="50">
        <f>W65</f>
        <v>4.934533610751528</v>
      </c>
      <c r="X66" s="50" t="s">
        <v>107</v>
      </c>
      <c r="Y66" s="50" t="s">
        <v>106</v>
      </c>
      <c r="Z66" s="50">
        <f>Z65+T66</f>
        <v>-6.2521756803185236</v>
      </c>
      <c r="AA66" s="50">
        <f>AA65</f>
        <v>4.983289579800262</v>
      </c>
      <c r="AB66" s="50" t="s">
        <v>112</v>
      </c>
    </row>
    <row r="67" spans="2:28" ht="12.75">
      <c r="B67" t="s">
        <v>72</v>
      </c>
      <c r="C67" t="s">
        <v>1</v>
      </c>
      <c r="D67" t="s">
        <v>78</v>
      </c>
      <c r="F67" t="s">
        <v>1</v>
      </c>
      <c r="G67" s="10">
        <f>IF(AND(K63&gt;2,K65&gt;2),K63*$G$19,K65*$G$19)</f>
        <v>0.0013742764991213903</v>
      </c>
      <c r="H67" t="s">
        <v>15</v>
      </c>
      <c r="S67" s="50" t="s">
        <v>105</v>
      </c>
      <c r="T67" s="50">
        <v>0.05</v>
      </c>
      <c r="U67" s="50" t="s">
        <v>106</v>
      </c>
      <c r="V67" s="50">
        <f>V66+T67</f>
        <v>-6.250931649367258</v>
      </c>
      <c r="W67" s="50">
        <f>W66</f>
        <v>4.934533610751528</v>
      </c>
      <c r="X67" s="50" t="s">
        <v>107</v>
      </c>
      <c r="Y67" s="50" t="s">
        <v>106</v>
      </c>
      <c r="Z67" s="50">
        <f>Z66+T67</f>
        <v>-6.202175680318524</v>
      </c>
      <c r="AA67" s="50">
        <f>AA66</f>
        <v>4.983289579800262</v>
      </c>
      <c r="AB67" s="50" t="s">
        <v>112</v>
      </c>
    </row>
    <row r="69" spans="1:18" ht="12.75">
      <c r="A69" s="5" t="s">
        <v>75</v>
      </c>
      <c r="G69" s="3"/>
      <c r="H69" s="3"/>
      <c r="R69" t="s">
        <v>124</v>
      </c>
    </row>
    <row r="70" spans="7:27" ht="12.75">
      <c r="G70" s="3"/>
      <c r="H70" s="3"/>
      <c r="S70" s="50" t="s">
        <v>111</v>
      </c>
      <c r="T70" s="50" t="s">
        <v>106</v>
      </c>
      <c r="U70" s="50">
        <f>U23</f>
        <v>-2.1465625394719976</v>
      </c>
      <c r="V70" s="52">
        <f>V23</f>
        <v>4.944533610751527</v>
      </c>
      <c r="W70" s="50" t="s">
        <v>107</v>
      </c>
      <c r="X70" s="50" t="s">
        <v>106</v>
      </c>
      <c r="Y70" s="50">
        <f>U70+$G$38/4</f>
        <v>-2.130623547209814</v>
      </c>
      <c r="Z70" s="50">
        <f>V70+$G$38/4</f>
        <v>4.960472603013711</v>
      </c>
      <c r="AA70" s="50" t="s">
        <v>112</v>
      </c>
    </row>
    <row r="71" spans="2:28" ht="12.75">
      <c r="B71" t="s">
        <v>16</v>
      </c>
      <c r="C71" t="s">
        <v>1</v>
      </c>
      <c r="D71" t="s">
        <v>17</v>
      </c>
      <c r="F71" t="s">
        <v>1</v>
      </c>
      <c r="G71" s="14">
        <f>377*PI()/(2*$G$32*SQRT($G$13))</f>
        <v>4.221666700010198</v>
      </c>
      <c r="I71" t="s">
        <v>52</v>
      </c>
      <c r="K71">
        <f>2/PI()*(G71-1-LN(2*G71-1)+(($G$13-1)/(2*$G$13)*(LN(G71-1)+0.39-0.61/$G$13)))</f>
        <v>1.0049300055677275</v>
      </c>
      <c r="S71" s="50" t="s">
        <v>105</v>
      </c>
      <c r="T71" s="50">
        <v>0.05</v>
      </c>
      <c r="U71" s="50" t="s">
        <v>106</v>
      </c>
      <c r="V71" s="50">
        <f>U16-T71*0.2</f>
        <v>-2.1565625394719974</v>
      </c>
      <c r="W71" s="50">
        <f>Z23-0.5*T71</f>
        <v>4.983289579800262</v>
      </c>
      <c r="X71" s="50" t="s">
        <v>107</v>
      </c>
      <c r="Y71" s="50" t="s">
        <v>106</v>
      </c>
      <c r="Z71" s="50">
        <f>Y16-T71/2</f>
        <v>-2.1078065704232625</v>
      </c>
      <c r="AA71" s="50">
        <f>Z16-T71*0.2</f>
        <v>4.934533610751528</v>
      </c>
      <c r="AB71" s="50" t="s">
        <v>112</v>
      </c>
    </row>
    <row r="72" spans="2:28" ht="12.75">
      <c r="B72" t="s">
        <v>18</v>
      </c>
      <c r="C72" t="s">
        <v>1</v>
      </c>
      <c r="D72" t="s">
        <v>19</v>
      </c>
      <c r="F72" t="s">
        <v>1</v>
      </c>
      <c r="G72" s="14">
        <f>$G$32/60*SQRT(($G$13+1)/2)+($G$13-1)/($G$13+1)*(0.23+0.11/$G$13)</f>
        <v>2.090583360365882</v>
      </c>
      <c r="I72" t="s">
        <v>53</v>
      </c>
      <c r="K72">
        <f>8*EXP(G72)/(EXP(2*G72)-2)</f>
        <v>1.020095504779767</v>
      </c>
      <c r="S72" s="50" t="s">
        <v>105</v>
      </c>
      <c r="T72" s="50">
        <v>0.05</v>
      </c>
      <c r="U72" s="50" t="s">
        <v>106</v>
      </c>
      <c r="V72" s="50">
        <f>V71-T72</f>
        <v>-2.206562539471997</v>
      </c>
      <c r="W72" s="50">
        <f>W71</f>
        <v>4.983289579800262</v>
      </c>
      <c r="X72" s="50" t="s">
        <v>107</v>
      </c>
      <c r="Y72" s="50" t="s">
        <v>106</v>
      </c>
      <c r="Z72" s="50">
        <f>Z71-T72</f>
        <v>-2.1578065704232623</v>
      </c>
      <c r="AA72" s="50">
        <f>AA71</f>
        <v>4.934533610751528</v>
      </c>
      <c r="AB72" s="50" t="s">
        <v>112</v>
      </c>
    </row>
    <row r="73" spans="19:28" ht="12.75">
      <c r="S73" s="50" t="s">
        <v>105</v>
      </c>
      <c r="T73" s="50">
        <v>0.05</v>
      </c>
      <c r="U73" s="50" t="s">
        <v>106</v>
      </c>
      <c r="V73" s="50">
        <f>V72-T73</f>
        <v>-2.256562539471997</v>
      </c>
      <c r="W73" s="50">
        <f>W72</f>
        <v>4.983289579800262</v>
      </c>
      <c r="X73" s="50" t="s">
        <v>107</v>
      </c>
      <c r="Y73" s="50" t="s">
        <v>106</v>
      </c>
      <c r="Z73" s="50">
        <f>Z72-T73</f>
        <v>-2.207806570423262</v>
      </c>
      <c r="AA73" s="50">
        <f>AA72</f>
        <v>4.934533610751528</v>
      </c>
      <c r="AB73" s="50" t="s">
        <v>112</v>
      </c>
    </row>
    <row r="74" spans="2:8" ht="12.75">
      <c r="B74" t="s">
        <v>68</v>
      </c>
      <c r="C74" t="s">
        <v>1</v>
      </c>
      <c r="D74" t="s">
        <v>79</v>
      </c>
      <c r="F74" t="s">
        <v>1</v>
      </c>
      <c r="G74" s="10">
        <f>IF(AND(K71&gt;2,K72&gt;2),K71*$G$19,K72*$G$19)</f>
        <v>0.0016194016138378802</v>
      </c>
      <c r="H74" t="s">
        <v>15</v>
      </c>
    </row>
    <row r="75" ht="12.75">
      <c r="R75" t="s">
        <v>125</v>
      </c>
    </row>
    <row r="76" ht="12.75">
      <c r="A76" s="5" t="s">
        <v>76</v>
      </c>
    </row>
    <row r="77" spans="19:27" ht="12.75">
      <c r="S77" s="50" t="s">
        <v>111</v>
      </c>
      <c r="T77" s="50" t="s">
        <v>106</v>
      </c>
      <c r="U77" s="50">
        <f>U24</f>
        <v>2.1465625394719976</v>
      </c>
      <c r="V77" s="52">
        <f>V24</f>
        <v>4.944533610751527</v>
      </c>
      <c r="W77" s="50" t="s">
        <v>107</v>
      </c>
      <c r="X77" s="50" t="s">
        <v>106</v>
      </c>
      <c r="Y77" s="50">
        <f>U77-$G$38/4</f>
        <v>2.130623547209814</v>
      </c>
      <c r="Z77" s="50">
        <f>V77+$G$38/4</f>
        <v>4.960472603013711</v>
      </c>
      <c r="AA77" s="50" t="s">
        <v>112</v>
      </c>
    </row>
    <row r="78" spans="2:28" ht="12.75">
      <c r="B78" t="s">
        <v>55</v>
      </c>
      <c r="C78" t="s">
        <v>1</v>
      </c>
      <c r="D78" t="s">
        <v>80</v>
      </c>
      <c r="F78" t="s">
        <v>1</v>
      </c>
      <c r="G78" s="14">
        <f>SQRT(100*50)</f>
        <v>70.71067811865476</v>
      </c>
      <c r="H78" t="s">
        <v>10</v>
      </c>
      <c r="S78" s="50" t="s">
        <v>105</v>
      </c>
      <c r="T78" s="50">
        <v>0.05</v>
      </c>
      <c r="U78" s="50" t="s">
        <v>106</v>
      </c>
      <c r="V78" s="50">
        <f>U17+T78/2</f>
        <v>2.1078065704232625</v>
      </c>
      <c r="W78" s="50">
        <f>Z17-0.2*T78</f>
        <v>4.934533610751528</v>
      </c>
      <c r="X78" s="50" t="s">
        <v>107</v>
      </c>
      <c r="Y78" s="50" t="s">
        <v>106</v>
      </c>
      <c r="Z78" s="50">
        <f>U24+0.2*T78</f>
        <v>2.1565625394719974</v>
      </c>
      <c r="AA78" s="50">
        <f>Z24-T78/2</f>
        <v>4.983289579800262</v>
      </c>
      <c r="AB78" s="50" t="s">
        <v>112</v>
      </c>
    </row>
    <row r="79" spans="19:28" ht="12.75">
      <c r="S79" s="50" t="s">
        <v>105</v>
      </c>
      <c r="T79" s="50">
        <v>0.05</v>
      </c>
      <c r="U79" s="50" t="s">
        <v>106</v>
      </c>
      <c r="V79" s="50">
        <f>V78+T79</f>
        <v>2.1578065704232623</v>
      </c>
      <c r="W79" s="50">
        <f>W78</f>
        <v>4.934533610751528</v>
      </c>
      <c r="X79" s="50" t="s">
        <v>107</v>
      </c>
      <c r="Y79" s="50" t="s">
        <v>106</v>
      </c>
      <c r="Z79" s="50">
        <f>Z78+T79</f>
        <v>2.206562539471997</v>
      </c>
      <c r="AA79" s="50">
        <f>AA78</f>
        <v>4.983289579800262</v>
      </c>
      <c r="AB79" s="50" t="s">
        <v>112</v>
      </c>
    </row>
    <row r="80" spans="2:28" ht="12.75">
      <c r="B80" t="s">
        <v>16</v>
      </c>
      <c r="C80" t="s">
        <v>1</v>
      </c>
      <c r="D80" t="s">
        <v>17</v>
      </c>
      <c r="F80" t="s">
        <v>1</v>
      </c>
      <c r="G80" s="14">
        <f>377*PI()/(2*G78*SQRT($G$13))</f>
        <v>5.535334142874269</v>
      </c>
      <c r="I80" t="s">
        <v>52</v>
      </c>
      <c r="K80">
        <f>2/PI()*(G80-1-LN(2*G80-1)+(($G$13-1)/(2*$G$13)*(LN(G80-1)+0.39-0.61/$G$13)))</f>
        <v>1.7100865387414654</v>
      </c>
      <c r="S80" s="50" t="s">
        <v>105</v>
      </c>
      <c r="T80" s="50">
        <v>0.05</v>
      </c>
      <c r="U80" s="50" t="s">
        <v>106</v>
      </c>
      <c r="V80" s="50">
        <f>V79+T80</f>
        <v>2.207806570423262</v>
      </c>
      <c r="W80" s="50">
        <f>W79</f>
        <v>4.934533610751528</v>
      </c>
      <c r="X80" s="50" t="s">
        <v>107</v>
      </c>
      <c r="Y80" s="50" t="s">
        <v>106</v>
      </c>
      <c r="Z80" s="50">
        <f>Z79+T80</f>
        <v>2.256562539471997</v>
      </c>
      <c r="AA80" s="50">
        <f>AA79</f>
        <v>4.983289579800262</v>
      </c>
      <c r="AB80" s="50" t="s">
        <v>112</v>
      </c>
    </row>
    <row r="81" spans="2:11" ht="12.75">
      <c r="B81" t="s">
        <v>23</v>
      </c>
      <c r="C81" t="s">
        <v>1</v>
      </c>
      <c r="D81" t="s">
        <v>19</v>
      </c>
      <c r="F81" t="s">
        <v>1</v>
      </c>
      <c r="G81" s="14">
        <f>G78/60*SQRT(($G$13+1)/2)+($G$13-1)/($G$13+1)*(0.23+0.11/$G$13)</f>
        <v>1.6203008944583406</v>
      </c>
      <c r="I81" t="s">
        <v>53</v>
      </c>
      <c r="K81">
        <f>8*EXP(G81)/(EXP(2*G81)-2)</f>
        <v>1.7171314907807285</v>
      </c>
    </row>
    <row r="82" ht="12.75">
      <c r="R82" t="s">
        <v>126</v>
      </c>
    </row>
    <row r="83" spans="2:27" ht="12.75">
      <c r="B83" t="s">
        <v>64</v>
      </c>
      <c r="C83" t="s">
        <v>1</v>
      </c>
      <c r="D83" t="s">
        <v>81</v>
      </c>
      <c r="F83" t="s">
        <v>1</v>
      </c>
      <c r="G83" s="10">
        <f>IF(AND(K80&gt;2,K81&gt;2),K80*$G$19,K81*$G$19)</f>
        <v>0.0027259462416144064</v>
      </c>
      <c r="H83" t="s">
        <v>15</v>
      </c>
      <c r="S83" s="50" t="s">
        <v>111</v>
      </c>
      <c r="T83" s="50" t="s">
        <v>106</v>
      </c>
      <c r="U83" s="50">
        <f>U25</f>
        <v>6.312175680318523</v>
      </c>
      <c r="V83" s="52">
        <f>V25</f>
        <v>4.944533610751527</v>
      </c>
      <c r="W83" s="50" t="s">
        <v>107</v>
      </c>
      <c r="X83" s="50" t="s">
        <v>106</v>
      </c>
      <c r="Y83" s="50">
        <f>U83+$G$38/4</f>
        <v>6.328114672580707</v>
      </c>
      <c r="Z83" s="50">
        <f>V83+$G$38/4</f>
        <v>4.960472603013711</v>
      </c>
      <c r="AA83" s="50" t="s">
        <v>112</v>
      </c>
    </row>
    <row r="84" spans="2:28" ht="12.75">
      <c r="B84" t="s">
        <v>24</v>
      </c>
      <c r="C84" t="s">
        <v>1</v>
      </c>
      <c r="D84" t="s">
        <v>25</v>
      </c>
      <c r="F84" t="s">
        <v>1</v>
      </c>
      <c r="G84" s="11">
        <f>($G$13+1)/2+($G$13-1)/2/SQRT(1+12/($G$19/G83))</f>
        <v>1.78321717540925</v>
      </c>
      <c r="S84" s="50" t="s">
        <v>105</v>
      </c>
      <c r="T84" s="50">
        <v>0.05</v>
      </c>
      <c r="U84" s="50" t="s">
        <v>106</v>
      </c>
      <c r="V84" s="50">
        <f>U18-T84*0.2</f>
        <v>6.302175680318523</v>
      </c>
      <c r="W84" s="50">
        <f>Z25-0.5*T84</f>
        <v>4.983289579800262</v>
      </c>
      <c r="X84" s="50" t="s">
        <v>107</v>
      </c>
      <c r="Y84" s="50" t="s">
        <v>106</v>
      </c>
      <c r="Z84" s="50">
        <f>Y18-T84/2</f>
        <v>6.350931649367258</v>
      </c>
      <c r="AA84" s="50">
        <f>Z18-T84*0.2</f>
        <v>4.934533610751528</v>
      </c>
      <c r="AB84" s="50" t="s">
        <v>112</v>
      </c>
    </row>
    <row r="85" spans="2:28" ht="12.75">
      <c r="B85" t="s">
        <v>82</v>
      </c>
      <c r="C85" t="s">
        <v>1</v>
      </c>
      <c r="D85" t="s">
        <v>83</v>
      </c>
      <c r="F85" t="s">
        <v>1</v>
      </c>
      <c r="G85" s="10">
        <f>$M$24/SQRT(G84)</f>
        <v>0.2486170067240953</v>
      </c>
      <c r="H85" t="s">
        <v>15</v>
      </c>
      <c r="S85" s="50" t="s">
        <v>105</v>
      </c>
      <c r="T85" s="50">
        <v>0.05</v>
      </c>
      <c r="U85" s="50" t="s">
        <v>106</v>
      </c>
      <c r="V85" s="50">
        <f>V84-T85</f>
        <v>6.2521756803185236</v>
      </c>
      <c r="W85" s="50">
        <f>W84</f>
        <v>4.983289579800262</v>
      </c>
      <c r="X85" s="50" t="s">
        <v>107</v>
      </c>
      <c r="Y85" s="50" t="s">
        <v>106</v>
      </c>
      <c r="Z85" s="50">
        <f>Z84-T85</f>
        <v>6.300931649367258</v>
      </c>
      <c r="AA85" s="50">
        <f>AA84</f>
        <v>4.934533610751528</v>
      </c>
      <c r="AB85" s="50" t="s">
        <v>112</v>
      </c>
    </row>
    <row r="86" spans="2:28" ht="12.75">
      <c r="B86" t="s">
        <v>61</v>
      </c>
      <c r="C86" t="s">
        <v>1</v>
      </c>
      <c r="D86" t="s">
        <v>84</v>
      </c>
      <c r="F86" t="s">
        <v>1</v>
      </c>
      <c r="G86" s="10">
        <f>G85/4</f>
        <v>0.06215425168102383</v>
      </c>
      <c r="H86" t="s">
        <v>15</v>
      </c>
      <c r="S86" s="50" t="s">
        <v>105</v>
      </c>
      <c r="T86" s="50">
        <v>0.05</v>
      </c>
      <c r="U86" s="50" t="s">
        <v>106</v>
      </c>
      <c r="V86" s="50">
        <f>V85-T86</f>
        <v>6.202175680318524</v>
      </c>
      <c r="W86" s="50">
        <f>W85</f>
        <v>4.983289579800262</v>
      </c>
      <c r="X86" s="50" t="s">
        <v>107</v>
      </c>
      <c r="Y86" s="50" t="s">
        <v>106</v>
      </c>
      <c r="Z86" s="50">
        <f>Z85-T86</f>
        <v>6.250931649367258</v>
      </c>
      <c r="AA86" s="50">
        <f>AA85</f>
        <v>4.934533610751528</v>
      </c>
      <c r="AB86" s="50" t="s">
        <v>112</v>
      </c>
    </row>
    <row r="87" ht="12.75">
      <c r="G87" s="10"/>
    </row>
    <row r="88" spans="1:18" ht="12.75">
      <c r="A88" s="5" t="s">
        <v>85</v>
      </c>
      <c r="R88" t="s">
        <v>128</v>
      </c>
    </row>
    <row r="90" spans="2:27" ht="12.75">
      <c r="B90" t="s">
        <v>58</v>
      </c>
      <c r="C90" t="s">
        <v>1</v>
      </c>
      <c r="D90" t="s">
        <v>80</v>
      </c>
      <c r="F90" t="s">
        <v>1</v>
      </c>
      <c r="G90" s="14">
        <f>SQRT(100*$G$32)</f>
        <v>96.28806314273777</v>
      </c>
      <c r="H90" t="s">
        <v>10</v>
      </c>
      <c r="S90" s="50" t="s">
        <v>111</v>
      </c>
      <c r="T90" s="50" t="s">
        <v>106</v>
      </c>
      <c r="U90" s="52">
        <f>Y41</f>
        <v>-4.135488131782149</v>
      </c>
      <c r="V90" s="52">
        <f>Z41</f>
        <v>5.3207895798002625</v>
      </c>
      <c r="W90" s="50" t="s">
        <v>107</v>
      </c>
      <c r="X90" s="50" t="s">
        <v>106</v>
      </c>
      <c r="Y90" s="50">
        <f>U90-$G$36/4</f>
        <v>-4.182428620838705</v>
      </c>
      <c r="Z90" s="50">
        <f>V90+$G$36/4</f>
        <v>5.367730068856818</v>
      </c>
      <c r="AA90" s="50" t="s">
        <v>112</v>
      </c>
    </row>
    <row r="91" spans="19:28" ht="12.75">
      <c r="S91" s="50" t="s">
        <v>105</v>
      </c>
      <c r="T91" s="50">
        <v>0.05</v>
      </c>
      <c r="U91" s="50" t="s">
        <v>106</v>
      </c>
      <c r="V91" s="50">
        <f>U41+T91/2</f>
        <v>-4.298250088008371</v>
      </c>
      <c r="W91" s="50">
        <f>Z41-0.2*T91</f>
        <v>5.310789579800263</v>
      </c>
      <c r="X91" s="50" t="s">
        <v>107</v>
      </c>
      <c r="Y91" s="50" t="s">
        <v>106</v>
      </c>
      <c r="Z91" s="50">
        <f>U46+0.2*T91</f>
        <v>-4.1254881317821495</v>
      </c>
      <c r="AA91" s="50">
        <f>Z46-T91/2</f>
        <v>5.483551536026484</v>
      </c>
      <c r="AB91" s="50" t="s">
        <v>112</v>
      </c>
    </row>
    <row r="92" spans="2:28" ht="12.75">
      <c r="B92" t="s">
        <v>16</v>
      </c>
      <c r="C92" t="s">
        <v>1</v>
      </c>
      <c r="D92" t="s">
        <v>17</v>
      </c>
      <c r="F92" t="s">
        <v>1</v>
      </c>
      <c r="G92" s="14">
        <f>377*PI()/(2*G90*SQRT($G$13))</f>
        <v>4.064961097781754</v>
      </c>
      <c r="I92" t="s">
        <v>52</v>
      </c>
      <c r="K92">
        <f>2/PI()*(G92-1-LN(2*G92-1)+(($G$13-1)/(2*$G$13)*(LN(G92-1)+0.39-0.61/$G$13)))</f>
        <v>0.9236161476009068</v>
      </c>
      <c r="S92" s="50" t="s">
        <v>105</v>
      </c>
      <c r="T92" s="50">
        <v>0.05</v>
      </c>
      <c r="U92" s="50" t="s">
        <v>106</v>
      </c>
      <c r="V92" s="50">
        <f>V91+T92</f>
        <v>-4.248250088008371</v>
      </c>
      <c r="W92" s="50">
        <f>W91</f>
        <v>5.310789579800263</v>
      </c>
      <c r="X92" s="50" t="s">
        <v>107</v>
      </c>
      <c r="Y92" s="50" t="s">
        <v>106</v>
      </c>
      <c r="Z92" s="50">
        <f>Z91+T92</f>
        <v>-4.07548813178215</v>
      </c>
      <c r="AA92" s="50">
        <f>AA91</f>
        <v>5.483551536026484</v>
      </c>
      <c r="AB92" s="50" t="s">
        <v>112</v>
      </c>
    </row>
    <row r="93" spans="2:28" ht="12.75">
      <c r="B93" t="s">
        <v>23</v>
      </c>
      <c r="C93" t="s">
        <v>1</v>
      </c>
      <c r="D93" t="s">
        <v>19</v>
      </c>
      <c r="F93" t="s">
        <v>1</v>
      </c>
      <c r="G93" s="14">
        <f>G90/60*SQRT(($G$13+1)/2)+($G$13-1)/($G$13+1)*(0.23+0.11/$G$13)</f>
        <v>2.1669749102629443</v>
      </c>
      <c r="I93" t="s">
        <v>53</v>
      </c>
      <c r="K93">
        <f>8*EXP(G93)/(EXP(2*G93)-2)</f>
        <v>0.9408684850765818</v>
      </c>
      <c r="S93" s="50" t="s">
        <v>105</v>
      </c>
      <c r="T93" s="50">
        <v>0.05</v>
      </c>
      <c r="U93" s="50" t="s">
        <v>106</v>
      </c>
      <c r="V93" s="50">
        <f>V92+T93</f>
        <v>-4.198250088008371</v>
      </c>
      <c r="W93" s="50">
        <f>W92</f>
        <v>5.310789579800263</v>
      </c>
      <c r="X93" s="50" t="s">
        <v>107</v>
      </c>
      <c r="Y93" s="50" t="s">
        <v>106</v>
      </c>
      <c r="Z93" s="50">
        <f>Z92+T93</f>
        <v>-4.02548813178215</v>
      </c>
      <c r="AA93" s="50">
        <f>AA92</f>
        <v>5.483551536026484</v>
      </c>
      <c r="AB93" s="50" t="s">
        <v>112</v>
      </c>
    </row>
    <row r="94" spans="19:28" ht="12.75">
      <c r="S94" s="50" t="s">
        <v>105</v>
      </c>
      <c r="T94" s="50">
        <v>0.05</v>
      </c>
      <c r="U94" s="50" t="s">
        <v>106</v>
      </c>
      <c r="V94" s="50">
        <f>V93+T94</f>
        <v>-4.148250088008371</v>
      </c>
      <c r="W94" s="50">
        <f>W93</f>
        <v>5.310789579800263</v>
      </c>
      <c r="X94" s="50" t="s">
        <v>107</v>
      </c>
      <c r="Y94" s="50" t="s">
        <v>106</v>
      </c>
      <c r="Z94" s="50">
        <f>Z93+T94</f>
        <v>-3.97548813178215</v>
      </c>
      <c r="AA94" s="50">
        <f>AA93</f>
        <v>5.483551536026484</v>
      </c>
      <c r="AB94" s="50" t="s">
        <v>112</v>
      </c>
    </row>
    <row r="95" spans="2:8" ht="12.75">
      <c r="B95" t="s">
        <v>63</v>
      </c>
      <c r="C95" t="s">
        <v>1</v>
      </c>
      <c r="D95" t="s">
        <v>81</v>
      </c>
      <c r="F95" t="s">
        <v>1</v>
      </c>
      <c r="G95" s="10">
        <f>IF(AND(K92&gt;2,K93&gt;2),K92*$G$19,K93*$G$19)</f>
        <v>0.0014936287200590737</v>
      </c>
      <c r="H95" t="s">
        <v>15</v>
      </c>
    </row>
    <row r="96" spans="2:18" ht="12.75">
      <c r="B96" t="s">
        <v>24</v>
      </c>
      <c r="C96" t="s">
        <v>1</v>
      </c>
      <c r="D96" t="s">
        <v>25</v>
      </c>
      <c r="F96" t="s">
        <v>1</v>
      </c>
      <c r="G96" s="11">
        <f>($G$13+1)/2+($G$13-1)/2/SQRT(1+12/(G95/$G$19))</f>
        <v>1.8183458339776957</v>
      </c>
      <c r="R96" t="s">
        <v>127</v>
      </c>
    </row>
    <row r="97" spans="2:8" ht="12.75">
      <c r="B97" t="s">
        <v>26</v>
      </c>
      <c r="C97" t="s">
        <v>1</v>
      </c>
      <c r="D97" t="s">
        <v>83</v>
      </c>
      <c r="F97" t="s">
        <v>1</v>
      </c>
      <c r="G97" s="10">
        <f>M24/SQRT(G96)</f>
        <v>0.24620377617273764</v>
      </c>
      <c r="H97" t="s">
        <v>15</v>
      </c>
    </row>
    <row r="98" spans="2:27" ht="12.75">
      <c r="B98" t="s">
        <v>62</v>
      </c>
      <c r="C98" t="s">
        <v>1</v>
      </c>
      <c r="D98" t="s">
        <v>84</v>
      </c>
      <c r="F98" t="s">
        <v>1</v>
      </c>
      <c r="G98" s="10">
        <f>G97/4</f>
        <v>0.06155094404318441</v>
      </c>
      <c r="H98" t="s">
        <v>15</v>
      </c>
      <c r="S98" s="50" t="s">
        <v>111</v>
      </c>
      <c r="T98" s="50" t="s">
        <v>106</v>
      </c>
      <c r="U98" s="52">
        <f>U47</f>
        <v>4.135488131782149</v>
      </c>
      <c r="V98" s="52">
        <f>V47</f>
        <v>5.3207895798002625</v>
      </c>
      <c r="W98" s="50" t="s">
        <v>107</v>
      </c>
      <c r="X98" s="50" t="s">
        <v>106</v>
      </c>
      <c r="Y98" s="50">
        <f>U98+$G$36/4</f>
        <v>4.182428620838705</v>
      </c>
      <c r="Z98" s="50">
        <f>V98+$G$36/4</f>
        <v>5.367730068856818</v>
      </c>
      <c r="AA98" s="50" t="s">
        <v>112</v>
      </c>
    </row>
    <row r="99" spans="19:28" ht="12.75">
      <c r="S99" s="50" t="s">
        <v>105</v>
      </c>
      <c r="T99" s="50">
        <v>0.05</v>
      </c>
      <c r="U99" s="50" t="s">
        <v>106</v>
      </c>
      <c r="V99" s="50">
        <f>U42-T99*0.2</f>
        <v>4.1254881317821495</v>
      </c>
      <c r="W99" s="50">
        <f>Z47-0.5*T99</f>
        <v>5.483551536026484</v>
      </c>
      <c r="X99" s="50" t="s">
        <v>107</v>
      </c>
      <c r="Y99" s="50" t="s">
        <v>106</v>
      </c>
      <c r="Z99" s="50">
        <f>Y42-T99/2</f>
        <v>4.298250088008371</v>
      </c>
      <c r="AA99" s="50">
        <f>Z42-T99*0.2</f>
        <v>5.310789579800263</v>
      </c>
      <c r="AB99" s="50" t="s">
        <v>112</v>
      </c>
    </row>
    <row r="100" spans="1:2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S100" s="50" t="s">
        <v>105</v>
      </c>
      <c r="T100" s="50">
        <v>0.05</v>
      </c>
      <c r="U100" s="50" t="s">
        <v>106</v>
      </c>
      <c r="V100" s="50">
        <f>V99-T100</f>
        <v>4.07548813178215</v>
      </c>
      <c r="W100" s="50">
        <f>W99</f>
        <v>5.483551536026484</v>
      </c>
      <c r="X100" s="50" t="s">
        <v>107</v>
      </c>
      <c r="Y100" s="50" t="s">
        <v>106</v>
      </c>
      <c r="Z100" s="50">
        <f>Z99-T100</f>
        <v>4.248250088008371</v>
      </c>
      <c r="AA100" s="50">
        <f>AA99</f>
        <v>5.310789579800263</v>
      </c>
      <c r="AB100" s="50" t="s">
        <v>112</v>
      </c>
    </row>
    <row r="101" spans="19:28" ht="12.75">
      <c r="S101" s="50" t="s">
        <v>105</v>
      </c>
      <c r="T101" s="50">
        <v>0.05</v>
      </c>
      <c r="U101" s="50" t="s">
        <v>106</v>
      </c>
      <c r="V101" s="50">
        <f>V100-T101</f>
        <v>4.02548813178215</v>
      </c>
      <c r="W101" s="50">
        <f>W100</f>
        <v>5.483551536026484</v>
      </c>
      <c r="X101" s="50" t="s">
        <v>107</v>
      </c>
      <c r="Y101" s="50" t="s">
        <v>106</v>
      </c>
      <c r="Z101" s="50">
        <f>Z100-T101</f>
        <v>4.198250088008371</v>
      </c>
      <c r="AA101" s="50">
        <f>AA100</f>
        <v>5.310789579800263</v>
      </c>
      <c r="AB101" s="50" t="s">
        <v>112</v>
      </c>
    </row>
    <row r="102" spans="19:28" ht="12.75">
      <c r="S102" s="50" t="s">
        <v>105</v>
      </c>
      <c r="T102" s="50">
        <v>0.05</v>
      </c>
      <c r="U102" s="50" t="s">
        <v>106</v>
      </c>
      <c r="V102" s="50">
        <f>V101-T102</f>
        <v>3.97548813178215</v>
      </c>
      <c r="W102" s="50">
        <f>W101</f>
        <v>5.483551536026484</v>
      </c>
      <c r="X102" s="50" t="s">
        <v>107</v>
      </c>
      <c r="Y102" s="50" t="s">
        <v>106</v>
      </c>
      <c r="Z102" s="50">
        <f>Z101-T102</f>
        <v>4.148250088008371</v>
      </c>
      <c r="AA102" s="50">
        <f>AA101</f>
        <v>5.310789579800263</v>
      </c>
      <c r="AB102" s="50" t="s">
        <v>112</v>
      </c>
    </row>
    <row r="104" ht="12.75">
      <c r="R104" t="s">
        <v>129</v>
      </c>
    </row>
    <row r="106" spans="19:28" ht="12.75">
      <c r="S106" s="50" t="s">
        <v>105</v>
      </c>
      <c r="T106" s="50">
        <v>0.01</v>
      </c>
      <c r="U106" s="50" t="s">
        <v>106</v>
      </c>
      <c r="V106" s="50">
        <v>-9</v>
      </c>
      <c r="W106" s="50">
        <v>0</v>
      </c>
      <c r="X106" s="50" t="s">
        <v>130</v>
      </c>
      <c r="Y106" s="50" t="s">
        <v>106</v>
      </c>
      <c r="Z106" s="50">
        <v>9</v>
      </c>
      <c r="AA106" s="50">
        <v>0</v>
      </c>
      <c r="AB106" s="50" t="s">
        <v>112</v>
      </c>
    </row>
    <row r="108" spans="19:28" ht="12.75">
      <c r="S108" s="50" t="s">
        <v>105</v>
      </c>
      <c r="T108" s="50">
        <v>0.01</v>
      </c>
      <c r="U108" s="50" t="s">
        <v>106</v>
      </c>
      <c r="V108" s="50">
        <v>-9</v>
      </c>
      <c r="W108" s="50">
        <f>5*$O$19+Z46</f>
        <v>5.821051536026484</v>
      </c>
      <c r="X108" s="50" t="s">
        <v>130</v>
      </c>
      <c r="Y108" s="50" t="s">
        <v>106</v>
      </c>
      <c r="Z108" s="50">
        <v>9</v>
      </c>
      <c r="AA108" s="50">
        <f>5*$O$19+Z46</f>
        <v>5.821051536026484</v>
      </c>
      <c r="AB108" s="50" t="s">
        <v>112</v>
      </c>
    </row>
    <row r="109" spans="19:28" ht="12.75">
      <c r="S109" s="50" t="s">
        <v>105</v>
      </c>
      <c r="T109" s="50">
        <v>0.01</v>
      </c>
      <c r="U109" s="50" t="s">
        <v>106</v>
      </c>
      <c r="V109" s="50">
        <v>-9</v>
      </c>
      <c r="W109" s="50">
        <f>-W108</f>
        <v>-5.821051536026484</v>
      </c>
      <c r="X109" s="50" t="s">
        <v>130</v>
      </c>
      <c r="Y109" s="50" t="s">
        <v>106</v>
      </c>
      <c r="Z109" s="50">
        <v>9</v>
      </c>
      <c r="AA109" s="50">
        <f>-AA108</f>
        <v>-5.821051536026484</v>
      </c>
      <c r="AB109" s="50" t="s">
        <v>112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16" sqref="C16"/>
    </sheetView>
  </sheetViews>
  <sheetFormatPr defaultColWidth="9.140625" defaultRowHeight="12.75"/>
  <sheetData>
    <row r="1" ht="12.75">
      <c r="A1" s="7" t="s">
        <v>104</v>
      </c>
    </row>
    <row r="3" ht="12.75">
      <c r="A3" s="7"/>
    </row>
    <row r="4" spans="1:3" ht="12.75">
      <c r="A4" t="s">
        <v>103</v>
      </c>
      <c r="B4" t="s">
        <v>134</v>
      </c>
      <c r="C4">
        <f>'2.422 GHz'!$W$108</f>
        <v>3.9501932417301386</v>
      </c>
    </row>
    <row r="5" spans="1:3" ht="12.75">
      <c r="A5" t="s">
        <v>135</v>
      </c>
      <c r="B5" t="s">
        <v>131</v>
      </c>
      <c r="C5">
        <f>'1.57542 GHz'!$W$108</f>
        <v>5.132124916059774</v>
      </c>
    </row>
    <row r="6" spans="1:3" ht="12.75">
      <c r="A6" t="s">
        <v>136</v>
      </c>
      <c r="B6" t="s">
        <v>132</v>
      </c>
      <c r="C6">
        <f>'1.277 GHz'!$W$108</f>
        <v>5.821051536026484</v>
      </c>
    </row>
    <row r="8" spans="2:3" ht="12.75">
      <c r="B8" s="7" t="s">
        <v>133</v>
      </c>
      <c r="C8" s="7">
        <f>SUM(C4:C6)</f>
        <v>14.903369693816398</v>
      </c>
    </row>
    <row r="9" ht="12.75">
      <c r="E9" s="7"/>
    </row>
    <row r="11" ht="12.75">
      <c r="A11" s="7"/>
    </row>
    <row r="17" ht="12.75">
      <c r="E17" s="7"/>
    </row>
    <row r="19" ht="12.75">
      <c r="A19" s="7"/>
    </row>
    <row r="25" ht="12.75">
      <c r="E25" s="7"/>
    </row>
    <row r="28" spans="1:3" ht="12.75">
      <c r="A28" s="7"/>
      <c r="B28" s="7"/>
      <c r="C28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41" sqref="E41"/>
    </sheetView>
  </sheetViews>
  <sheetFormatPr defaultColWidth="9.140625" defaultRowHeight="12.75"/>
  <cols>
    <col min="1" max="1" width="11.140625" style="0" customWidth="1"/>
  </cols>
  <sheetData>
    <row r="1" ht="12.75">
      <c r="A1" t="s">
        <v>88</v>
      </c>
    </row>
    <row r="3" spans="1:5" ht="12.75">
      <c r="A3" t="s">
        <v>95</v>
      </c>
      <c r="B3" t="s">
        <v>96</v>
      </c>
      <c r="D3" t="s">
        <v>97</v>
      </c>
      <c r="E3" t="s">
        <v>98</v>
      </c>
    </row>
    <row r="4" spans="1:4" ht="12.75">
      <c r="A4" s="44" t="s">
        <v>89</v>
      </c>
      <c r="B4" s="44">
        <v>0.7</v>
      </c>
      <c r="C4" s="42"/>
      <c r="D4" s="42"/>
    </row>
    <row r="5" spans="1:4" ht="12.75">
      <c r="A5" s="44" t="s">
        <v>90</v>
      </c>
      <c r="B5" s="44">
        <v>1.4</v>
      </c>
      <c r="C5" s="42"/>
      <c r="D5" s="42"/>
    </row>
    <row r="6" spans="1:4" ht="12.75">
      <c r="A6" s="44" t="s">
        <v>91</v>
      </c>
      <c r="B6" s="44">
        <v>2.8</v>
      </c>
      <c r="C6" s="42"/>
      <c r="D6" s="42"/>
    </row>
    <row r="7" spans="1:4" ht="12.75">
      <c r="A7" s="44" t="s">
        <v>92</v>
      </c>
      <c r="B7" s="44">
        <v>4.2</v>
      </c>
      <c r="C7" s="42"/>
      <c r="D7" s="42"/>
    </row>
    <row r="8" spans="1:4" ht="12.75">
      <c r="A8" s="44" t="s">
        <v>93</v>
      </c>
      <c r="B8" s="44">
        <v>5.6</v>
      </c>
      <c r="C8" s="42"/>
      <c r="D8" s="42"/>
    </row>
    <row r="9" spans="1:4" ht="12.75">
      <c r="A9" s="44" t="s">
        <v>94</v>
      </c>
      <c r="B9" s="44">
        <v>7</v>
      </c>
      <c r="C9" s="42"/>
      <c r="D9" s="42"/>
    </row>
    <row r="10" spans="1:4" ht="12.75">
      <c r="A10" s="43"/>
      <c r="B10" s="43"/>
      <c r="C10" s="42"/>
      <c r="D10" s="42"/>
    </row>
    <row r="11" spans="1:4" ht="12.75">
      <c r="A11" s="44" t="s">
        <v>100</v>
      </c>
      <c r="B11" s="42" t="s">
        <v>101</v>
      </c>
      <c r="C11" s="42"/>
      <c r="D11" s="4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Greenberg</dc:creator>
  <cp:keywords/>
  <dc:description/>
  <cp:lastModifiedBy>Andrew Greenberg</cp:lastModifiedBy>
  <dcterms:created xsi:type="dcterms:W3CDTF">2003-07-28T17:26:30Z</dcterms:created>
  <dcterms:modified xsi:type="dcterms:W3CDTF">2004-07-22T18:05:11Z</dcterms:modified>
  <cp:category/>
  <cp:version/>
  <cp:contentType/>
  <cp:contentStatus/>
</cp:coreProperties>
</file>