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4400" activeTab="0"/>
  </bookViews>
  <sheets>
    <sheet name="Read me" sheetId="1" r:id="rId1"/>
    <sheet name="5.675 GHz" sheetId="2" r:id="rId2"/>
    <sheet name="2.390 GHz" sheetId="3" r:id="rId3"/>
    <sheet name="1.57542 GHz" sheetId="4" r:id="rId4"/>
    <sheet name="1.25325 GHz" sheetId="5" r:id="rId5"/>
    <sheet name="Lengths" sheetId="6" r:id="rId6"/>
    <sheet name="USEFUL INFO" sheetId="7" r:id="rId7"/>
  </sheets>
  <definedNames>
    <definedName name="SHEET_TITLE" localSheetId="0">"Read me"</definedName>
    <definedName name="_xlnm.Print_Area" localSheetId="0">'Read me'!$A:$IV</definedName>
    <definedName name="SHEET_TITLE" localSheetId="1">"5.675 GHz"</definedName>
    <definedName name="_xlnm.Print_Area" localSheetId="1">'5.675 GHz'!$A:$IV</definedName>
    <definedName name="SHEET_TITLE" localSheetId="2">"2.390 GHz"</definedName>
    <definedName name="_xlnm.Print_Area" localSheetId="2">'2.390 GHz'!$A:$IV</definedName>
    <definedName name="SHEET_TITLE" localSheetId="3">"1.57542 GHz"</definedName>
    <definedName name="_xlnm.Print_Area" localSheetId="3">'1.57542 GHz'!$A:$IV</definedName>
    <definedName name="SHEET_TITLE" localSheetId="4">"1.25325 GHz"</definedName>
    <definedName name="_xlnm.Print_Area" localSheetId="4">'1.25325 GHz'!$A:$IV</definedName>
    <definedName name="SHEET_TITLE" localSheetId="5">"Lengths"</definedName>
    <definedName name="_xlnm.Print_Area" localSheetId="5">'Lengths'!$A:$IV</definedName>
    <definedName name="SHEET_TITLE" localSheetId="6">"USEFUL INFO"</definedName>
    <definedName name="_xlnm.Print_Area" localSheetId="6">'USEFUL INFO'!$A:$IV</definedName>
  </definedNames>
  <calcPr fullCalcOnLoad="1"/>
</workbook>
</file>

<file path=xl/sharedStrings.xml><?xml version="1.0" encoding="utf-8"?>
<sst xmlns="http://schemas.openxmlformats.org/spreadsheetml/2006/main" count="3926" uniqueCount="262">
  <si>
    <t>Portland State Aerospace Society Cylindrical Patch Antenna Calculator</t>
  </si>
  <si>
    <t>2.  There are three elements stacked on top of each other at each screw location:</t>
  </si>
  <si>
    <t>2.  Moved screws that pierced the patch to the middle of the patch. Better electrically, didn't seem much worse mechanically.</t>
  </si>
  <si>
    <t>1. Added 5.675 GHz antenna, with 16 feeds (wow, that was a giant pain).</t>
  </si>
  <si>
    <t>a. The patches should be cut out with the exacto blade splitting the 0.01" trace on the top and bottom of the board. This will require removing the 0.005" traces on either side, but there's not much to do about that (possible solution: we get the boards silk screened).</t>
  </si>
  <si>
    <t>TODO: Do we really ned 5*h_dielectric spacing, especially around patch feeds? Used to be 3x, changed to 5x to be consistent.</t>
  </si>
  <si>
    <t>a. The widest circle (located on on the tplace layer) is the outline of the counter-sunk #4 screw head.</t>
  </si>
  <si>
    <t>3.  Removed the first 1/4wave transformer in the wifi antenna and replaced it with Zin feeds combining into a Zin/2 feed. The Zin/2 feed is then transformed to 100 ohms by a Zin/2 to 100 ohm 1/2 wave transformer, at which point it makes a 50 ohm line as usual.</t>
  </si>
  <si>
    <t>2. Moved 802.11b antenna to ATV antenna, moving from 2.412 to 2.390 GHz.</t>
  </si>
  <si>
    <t>3.  The large circle located at the feedpoint (located on the bplace layer) is the outline of the 0.5" hole cut into the airframe in order to feed through the patch's SMA connector.</t>
  </si>
  <si>
    <t>1.  Moved epsilon_r values to 2.20066 based on Tim's new calcs.</t>
  </si>
  <si>
    <t>b. The wide traces on the left and right are cut-out alignment traces; the excacto blade should go on the outside of the radiating patch and the inside of the alignment traces - thus when the board is cut out properly, the alignment traces won't be on the board.</t>
  </si>
  <si>
    <t>FIXME: Sheets may not be consistent; easy way to double check?</t>
  </si>
  <si>
    <t>b. The middle circle (located on on the bplace layer) is the outline of the #4 screw hole drilled in the airframe.</t>
  </si>
  <si>
    <t>4.  Added more space to the top and bottom of the PCB antenna so that the screw heads are at least 5h away from any radiator/microstrip.</t>
  </si>
  <si>
    <t>2.  Fixed 0.5Zin to 100 ohm 1/4 wave transformer on wifi antenna.</t>
  </si>
  <si>
    <t>3. Moved readme.txt to the front sheet.</t>
  </si>
  <si>
    <t>1.  Added 0.010" on each side of the patch (near the seam) so we can sand off the edge to make it fit "perfectly".</t>
  </si>
  <si>
    <t>FIXME: DOH! Removed the 0.010" on each edge of the patch for all three antennas (see 2004-08-03 notes)...add it back on!</t>
  </si>
  <si>
    <t>c. The smallest cicle, with the hour-glass symbol in it, is a 0.05" alignment hole drilled in the antenna PCB.</t>
  </si>
  <si>
    <t>5. Moved from the simplistic book-based patch length formula (with the 0.49 kludge factor) to the more elegant derived length model.</t>
  </si>
  <si>
    <t>1.  Cutting out the antennas:</t>
  </si>
  <si>
    <t>)</t>
  </si>
  <si>
    <t>(</t>
  </si>
  <si>
    <t>);</t>
  </si>
  <si>
    <t>wire</t>
  </si>
  <si>
    <t>hole</t>
  </si>
  <si>
    <t>Z50T100</t>
  </si>
  <si>
    <t>rect</t>
  </si>
  <si>
    <t>lambda0 is c/f</t>
  </si>
  <si>
    <t>50T100: Calculate the length of the 70.7 ohm 1/4 wave transformer</t>
  </si>
  <si>
    <t>circle</t>
  </si>
  <si>
    <t>W_50</t>
  </si>
  <si>
    <t>=</t>
  </si>
  <si>
    <t>Width of 50 ohm line</t>
  </si>
  <si>
    <t>m</t>
  </si>
  <si>
    <t>Z50 @ 90 deg</t>
  </si>
  <si>
    <t>CORNER: 0.5Zin.8</t>
  </si>
  <si>
    <t>L_100TZin</t>
  </si>
  <si>
    <t>1/4 Wavelength</t>
  </si>
  <si>
    <t>d_airframe</t>
  </si>
  <si>
    <t>OD of airframe</t>
  </si>
  <si>
    <t>CORNER: ZIN.10</t>
  </si>
  <si>
    <t>cm</t>
  </si>
  <si>
    <t>mm</t>
  </si>
  <si>
    <t>in</t>
  </si>
  <si>
    <t>Z100</t>
  </si>
  <si>
    <t>W_50: Calculate the width of a 50ohm line</t>
  </si>
  <si>
    <t>CYLINDRICAL PATCH</t>
  </si>
  <si>
    <t xml:space="preserve">A = </t>
  </si>
  <si>
    <t>Sub-equation 2</t>
  </si>
  <si>
    <t>PATCH</t>
  </si>
  <si>
    <t xml:space="preserve">w/h (if w/h &lt; 2) = </t>
  </si>
  <si>
    <t>CORNER: Z50.2</t>
  </si>
  <si>
    <t>BL is a function of h, L and lambda0</t>
  </si>
  <si>
    <t>L_paddingbot</t>
  </si>
  <si>
    <t>padding from via to edge</t>
  </si>
  <si>
    <t>CORNER: 0.5Zin.1</t>
  </si>
  <si>
    <t>In</t>
  </si>
  <si>
    <t>Makes the screws heads 5h away from the via</t>
  </si>
  <si>
    <t>E_eff</t>
  </si>
  <si>
    <t>Effective dielectric</t>
  </si>
  <si>
    <t>CORNER: ZIN.3</t>
  </si>
  <si>
    <t>A</t>
  </si>
  <si>
    <t>Z_50T100</t>
  </si>
  <si>
    <t>Z of 50/100 1/4wv tans.</t>
  </si>
  <si>
    <t>CORNER: Z50.1 R</t>
  </si>
  <si>
    <t>Ohms</t>
  </si>
  <si>
    <t>c</t>
  </si>
  <si>
    <t>D_via</t>
  </si>
  <si>
    <t>Diameter of via hole</t>
  </si>
  <si>
    <t>CORNER: ZIN.14</t>
  </si>
  <si>
    <t>To fit the eyelet.</t>
  </si>
  <si>
    <t>CUTTING GUIDES</t>
  </si>
  <si>
    <t>CORPORATE FEED NETWORK</t>
  </si>
  <si>
    <t>0.5Zin @ 90 deg</t>
  </si>
  <si>
    <t>t_gnd</t>
  </si>
  <si>
    <t>Thickness of GND plane</t>
  </si>
  <si>
    <t>B</t>
  </si>
  <si>
    <t>Sub-equation</t>
  </si>
  <si>
    <t xml:space="preserve">w/h (if w/h &gt; 2) = </t>
  </si>
  <si>
    <t>CORNER: 0.5Zin.5</t>
  </si>
  <si>
    <t>INPUTS</t>
  </si>
  <si>
    <t>CORNER: ZIN.7</t>
  </si>
  <si>
    <t>LENGTH</t>
  </si>
  <si>
    <t>h (the dielectric thickness in meters)</t>
  </si>
  <si>
    <t>L_paddingwidth</t>
  </si>
  <si>
    <t>padding on patch width</t>
  </si>
  <si>
    <t>Extra slop that we can sand off while making the antenna</t>
  </si>
  <si>
    <t>Lambda50T100</t>
  </si>
  <si>
    <t>Wavelength</t>
  </si>
  <si>
    <t>CUT AND PASTE</t>
  </si>
  <si>
    <t>group (-9 -6) (-9 6) (9 6) (9 -6) (-9 -6);</t>
  </si>
  <si>
    <t>KEY:</t>
  </si>
  <si>
    <t xml:space="preserve"> = inputs (sometimes optional)</t>
  </si>
  <si>
    <t>W_50T100</t>
  </si>
  <si>
    <t>width of 50/100 trans.</t>
  </si>
  <si>
    <t>f</t>
  </si>
  <si>
    <t>Z of 1/4wave trans.</t>
  </si>
  <si>
    <t>ohms</t>
  </si>
  <si>
    <t>W_100: Calculate the width of a 100ohm line</t>
  </si>
  <si>
    <t>Patch Length Calculations</t>
  </si>
  <si>
    <t>h</t>
  </si>
  <si>
    <t>height of dielectric</t>
  </si>
  <si>
    <t>CORNER: ZIN.11</t>
  </si>
  <si>
    <t>VIA</t>
  </si>
  <si>
    <t>change</t>
  </si>
  <si>
    <t>drill</t>
  </si>
  <si>
    <t>;</t>
  </si>
  <si>
    <t>Z_50</t>
  </si>
  <si>
    <t>impedance</t>
  </si>
  <si>
    <t>Level 2L -Z50</t>
  </si>
  <si>
    <t>D_patch</t>
  </si>
  <si>
    <t>radiator diameter</t>
  </si>
  <si>
    <t>W_Zin</t>
  </si>
  <si>
    <t>Width of Zin line into patch</t>
  </si>
  <si>
    <t>ZIN FEEDS</t>
  </si>
  <si>
    <t>Z0 depends on mu and epsilon as well as a and h</t>
  </si>
  <si>
    <t>CORNER: 0.5Zin.2</t>
  </si>
  <si>
    <t>L_50T100</t>
  </si>
  <si>
    <t>cut (0 0);</t>
  </si>
  <si>
    <t xml:space="preserve"> = outputs</t>
  </si>
  <si>
    <t>CORNER: ZIN.4</t>
  </si>
  <si>
    <t>W_100</t>
  </si>
  <si>
    <t>Width of 100 ohm line</t>
  </si>
  <si>
    <t>COPY AND PASTE GREEN SECTION BELOW TO EAGLE</t>
  </si>
  <si>
    <t>Lenfth of 1/4wave T</t>
  </si>
  <si>
    <t>CORNER: Z50.2 R</t>
  </si>
  <si>
    <t>theta is the ArcCos of a function of Z0, BL and GL</t>
  </si>
  <si>
    <t>0.5ZinT100</t>
  </si>
  <si>
    <t>D_countersink</t>
  </si>
  <si>
    <t>countersnink hole dia.</t>
  </si>
  <si>
    <t>CORNER: ZIN.15</t>
  </si>
  <si>
    <t>#4 nylon countersink screws</t>
  </si>
  <si>
    <t>width of 50 ohm line</t>
  </si>
  <si>
    <t>CORNER: Z50.1 L</t>
  </si>
  <si>
    <t>t_radiator</t>
  </si>
  <si>
    <t>Thickness of conductor</t>
  </si>
  <si>
    <t>via</t>
  </si>
  <si>
    <t>round</t>
  </si>
  <si>
    <t>L_patch</t>
  </si>
  <si>
    <t>resonant length</t>
  </si>
  <si>
    <t>CORNER: 0.5Zin.6</t>
  </si>
  <si>
    <t>Er</t>
  </si>
  <si>
    <t>Dielectric Constant</t>
  </si>
  <si>
    <t>CORNER: ZIN.8</t>
  </si>
  <si>
    <t>HEIGHT</t>
  </si>
  <si>
    <t>Total height of antenna</t>
  </si>
  <si>
    <t>SCREW HEADS</t>
  </si>
  <si>
    <t>layer</t>
  </si>
  <si>
    <t>tplace;</t>
  </si>
  <si>
    <t>mu is the dielectric permeability</t>
  </si>
  <si>
    <t>MISC VALUES</t>
  </si>
  <si>
    <t>paste</t>
  </si>
  <si>
    <t>GL is L/(120 * lambda0)</t>
  </si>
  <si>
    <t>D_screw_hole</t>
  </si>
  <si>
    <t>fastener hole diameter</t>
  </si>
  <si>
    <t>#4-32 tap hole</t>
  </si>
  <si>
    <t>CORNER: ZIN.1</t>
  </si>
  <si>
    <t>Z_100</t>
  </si>
  <si>
    <t>width of 100 ohm line</t>
  </si>
  <si>
    <t>Patch length is (theta * lambda0)/(2pi sqrt(epsilon_r))</t>
  </si>
  <si>
    <t>t_pcb</t>
  </si>
  <si>
    <t>thickness of the PCB</t>
  </si>
  <si>
    <t>CORNER: ZIN.12</t>
  </si>
  <si>
    <t>Level 2R -Z50</t>
  </si>
  <si>
    <t>W_patch</t>
  </si>
  <si>
    <t>width of radiator</t>
  </si>
  <si>
    <t>W_100TZin</t>
  </si>
  <si>
    <t>Width of 50/100 1/4W T</t>
  </si>
  <si>
    <t>Fsub0</t>
  </si>
  <si>
    <t xml:space="preserve">Center frequency </t>
  </si>
  <si>
    <t>Hz</t>
  </si>
  <si>
    <t>W_0.5Zin: Calculate the width of a Zin/2 ohm line</t>
  </si>
  <si>
    <t>epsilon is the dielectric permittivity</t>
  </si>
  <si>
    <t>CORNER: 0.5Zin.3</t>
  </si>
  <si>
    <t>0.5ZinT100: Calculate the length of the0.5Zin to 100 ohms 1/4 wave transformer</t>
  </si>
  <si>
    <t>CONSTANTS</t>
  </si>
  <si>
    <t>CORNER: ZIN.5</t>
  </si>
  <si>
    <t>W_Zin: Calculate the width of the feed into the CPA</t>
  </si>
  <si>
    <t>SETUP</t>
  </si>
  <si>
    <t>layer top;</t>
  </si>
  <si>
    <t>Z_0.5ZinT100</t>
  </si>
  <si>
    <t>Z of 100/Zin/2 1/4wv tans.</t>
  </si>
  <si>
    <t>L is pi(a+H)</t>
  </si>
  <si>
    <t>L_holefromedge</t>
  </si>
  <si>
    <t>dist. From edge to hole</t>
  </si>
  <si>
    <t>CORNER: ZIN.16</t>
  </si>
  <si>
    <t>Zin @ 90 deg</t>
  </si>
  <si>
    <t>PCB Holes</t>
  </si>
  <si>
    <t>width of Zin line</t>
  </si>
  <si>
    <t>CORNER: Z50.2 L</t>
  </si>
  <si>
    <t>epsilon_r</t>
  </si>
  <si>
    <t>DIVIDERS</t>
  </si>
  <si>
    <t xml:space="preserve">) </t>
  </si>
  <si>
    <t>N_f</t>
  </si>
  <si>
    <t xml:space="preserve">Number of feeds </t>
  </si>
  <si>
    <t>CORNER: 0.5Zin.7</t>
  </si>
  <si>
    <t>feeds</t>
  </si>
  <si>
    <t>Zin</t>
  </si>
  <si>
    <t>Patch input impedance</t>
  </si>
  <si>
    <t>CORNER: ZIN.9</t>
  </si>
  <si>
    <t>(Overrides automatic calculation in G32 - verify with WRAPPAT.EXE)</t>
  </si>
  <si>
    <t>AIRFRAME DRILLS</t>
  </si>
  <si>
    <t>bplace;</t>
  </si>
  <si>
    <t>CALCULATIONS</t>
  </si>
  <si>
    <t>mu0 is the permeability of free space</t>
  </si>
  <si>
    <t>Lambda_0</t>
  </si>
  <si>
    <t>Wavelength in free space</t>
  </si>
  <si>
    <t>PCB Bounds</t>
  </si>
  <si>
    <t>set WIRE_BEND 2;</t>
  </si>
  <si>
    <t>Level 3 - Z50</t>
  </si>
  <si>
    <t>W_0.5ZinT100</t>
  </si>
  <si>
    <t>width of 100/Zin/2 trans.</t>
  </si>
  <si>
    <t>CORNER: Z50.1</t>
  </si>
  <si>
    <t>a (the module diameter in meters)</t>
  </si>
  <si>
    <t>CORNER: ZIN.2</t>
  </si>
  <si>
    <t>W_0.5Zin</t>
  </si>
  <si>
    <t>width of 0.5Zin line</t>
  </si>
  <si>
    <t>pi</t>
  </si>
  <si>
    <t>L_spacing</t>
  </si>
  <si>
    <t>Spacing in diel. Thickness</t>
  </si>
  <si>
    <t>CORNER: ZIN.13</t>
  </si>
  <si>
    <t>#</t>
  </si>
  <si>
    <t>Impedance of patch</t>
  </si>
  <si>
    <t>Lambda</t>
  </si>
  <si>
    <t>CORNER: 0.5Zin.4</t>
  </si>
  <si>
    <t>Z_100TZin</t>
  </si>
  <si>
    <t>wire .01 (-9 -6) (-9 6) (9 6) (9 -6) (-9 -6);</t>
  </si>
  <si>
    <t>0.5Zin</t>
  </si>
  <si>
    <t>SOL</t>
  </si>
  <si>
    <t>CORNER: ZIN.6</t>
  </si>
  <si>
    <t>m/s</t>
  </si>
  <si>
    <t>L_0.5ZinT100</t>
  </si>
  <si>
    <t>H (the overall antenna thickness in meters)</t>
  </si>
  <si>
    <t>L_paddingtop</t>
  </si>
  <si>
    <t>padding from patch to edge</t>
  </si>
  <si>
    <t>Makes the screws heads 5h away from the patch slot</t>
  </si>
  <si>
    <t>Z50</t>
  </si>
  <si>
    <t>ZINT100</t>
  </si>
  <si>
    <t>Z of 100/Zin 1/4wv tans.</t>
  </si>
  <si>
    <t>100TZin: Calculate the length of the final (nearest to the CPA) Zin to 100 ohms 1/4 wave transformer</t>
  </si>
  <si>
    <t>Round</t>
  </si>
  <si>
    <t>width of 100/Zin trans.</t>
  </si>
  <si>
    <t>ZIN @ 90 deg</t>
  </si>
  <si>
    <t>Length of the CPAs</t>
  </si>
  <si>
    <t>802.11b</t>
  </si>
  <si>
    <t>802.11a</t>
  </si>
  <si>
    <t>GPS</t>
  </si>
  <si>
    <t>LV2</t>
  </si>
  <si>
    <t>LV2C</t>
  </si>
  <si>
    <t>ATV</t>
  </si>
  <si>
    <t>Possibly useful Information</t>
  </si>
  <si>
    <t>1 Oz.</t>
  </si>
  <si>
    <t>5 Oz.</t>
  </si>
  <si>
    <t>2 Oz.</t>
  </si>
  <si>
    <t>Cu plating</t>
  </si>
  <si>
    <t>Thickness (0.001")</t>
  </si>
  <si>
    <t>3 Oz</t>
  </si>
  <si>
    <t>( from http://www.standardpc.com/laminates.htm)</t>
  </si>
  <si>
    <t>1/2 Oz.</t>
  </si>
  <si>
    <t>4 Oz</t>
  </si>
</sst>
</file>

<file path=xl/styles.xml><?xml version="1.0" encoding="utf-8"?>
<styleSheet xmlns="http://schemas.openxmlformats.org/spreadsheetml/2006/main">
  <numFmts count="17">
    <numFmt numFmtId="5" formatCode="$#,##0_);($#,##0)"/>
    <numFmt numFmtId="6" formatCode="$#,##0_);[Red]($#,##0)"/>
    <numFmt numFmtId="7" formatCode="$#,##0.00_);($#,##0.00)"/>
    <numFmt numFmtId="8" formatCode="$#,##0.00_);[Red]($#,##0.00)"/>
    <numFmt numFmtId="42" formatCode="_($* #,##0_);_($* (#,##0);_($* &quot;-&quot;_);_(@_)"/>
    <numFmt numFmtId="41" formatCode="_(* #,##0_);_(* (#,##0);_(* &quot;-&quot;_);_(@_)"/>
    <numFmt numFmtId="44" formatCode="_($* #,##0.00_);_($* (#,##0.00);_($* &quot;-&quot;??_);_(@_)"/>
    <numFmt numFmtId="43" formatCode="_(* #,##0.00_);_(* (#,##0.00);_(* &quot;-&quot;??_);_(@_)"/>
    <numFmt numFmtId="50" formatCode="0.0000"/>
    <numFmt numFmtId="51" formatCode="0.00000"/>
    <numFmt numFmtId="52" formatCode="0.00000E+00"/>
    <numFmt numFmtId="53" formatCode="0.000000"/>
    <numFmt numFmtId="54" formatCode="0.000"/>
    <numFmt numFmtId="55" formatCode="yyyy-mmm-dd"/>
    <numFmt numFmtId="56" formatCode="0.0"/>
    <numFmt numFmtId="57" formatCode="0.0000E+00"/>
    <numFmt numFmtId="58" formatCode="0.000000000000000"/>
  </numFmts>
  <fonts count="6">
    <font>
      <sz val="10"/>
      <name val="Arial"/>
      <family val="0"/>
    </font>
    <font>
      <b/>
      <sz val="10"/>
      <name val="Arial"/>
      <family val="0"/>
    </font>
    <font>
      <i/>
      <sz val="10"/>
      <name val="Arial"/>
      <family val="0"/>
    </font>
    <font>
      <sz val="10"/>
      <color indexed="8"/>
      <name val="Helvetica"/>
      <family val="0"/>
    </font>
    <font>
      <sz val="10"/>
      <color indexed="8"/>
      <name val="Sans"/>
      <family val="0"/>
    </font>
    <font>
      <sz val="10"/>
      <name val="Sans"/>
      <family val="0"/>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s>
  <borders count="7">
    <border>
      <left/>
      <right/>
      <top/>
      <bottom/>
      <diagonal/>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2">
    <xf numFmtId="0" fontId="0" fillId="0" borderId="0" xfId="0" applyAlignment="1">
      <alignment/>
    </xf>
    <xf numFmtId="0" fontId="0"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4" fillId="2" borderId="0" xfId="0" applyNumberFormat="1" applyFont="1" applyFill="1" applyBorder="1" applyAlignment="1" applyProtection="1">
      <alignment horizontal="left"/>
      <protection/>
    </xf>
    <xf numFmtId="55" fontId="4" fillId="2" borderId="0" xfId="0" applyNumberFormat="1" applyFont="1" applyFill="1" applyBorder="1" applyAlignment="1" applyProtection="1">
      <alignment horizontal="left"/>
      <protection/>
    </xf>
    <xf numFmtId="0" fontId="4" fillId="2" borderId="0" xfId="0" applyNumberFormat="1" applyFont="1" applyFill="1" applyBorder="1" applyAlignment="1" applyProtection="1">
      <alignment/>
      <protection/>
    </xf>
    <xf numFmtId="55" fontId="4" fillId="2" borderId="0" xfId="0" applyNumberFormat="1" applyFont="1" applyFill="1" applyBorder="1" applyAlignment="1" applyProtection="1">
      <alignment/>
      <protection/>
    </xf>
    <xf numFmtId="0" fontId="0" fillId="3"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11" fontId="0" fillId="3" borderId="0" xfId="0" applyNumberFormat="1" applyFont="1" applyFill="1" applyBorder="1" applyAlignment="1" applyProtection="1">
      <alignment/>
      <protection/>
    </xf>
    <xf numFmtId="14" fontId="0" fillId="4" borderId="0" xfId="0" applyNumberFormat="1" applyFont="1" applyFill="1" applyBorder="1" applyAlignment="1" applyProtection="1">
      <alignment/>
      <protection/>
    </xf>
    <xf numFmtId="0" fontId="0" fillId="4" borderId="0" xfId="0" applyNumberFormat="1" applyFont="1" applyFill="1" applyBorder="1" applyAlignment="1" applyProtection="1">
      <alignment/>
      <protection/>
    </xf>
    <xf numFmtId="53" fontId="0" fillId="5" borderId="0" xfId="0" applyNumberFormat="1" applyFont="1" applyFill="1" applyBorder="1" applyAlignment="1" applyProtection="1">
      <alignment/>
      <protection/>
    </xf>
    <xf numFmtId="0" fontId="0" fillId="5" borderId="1" xfId="0" applyNumberFormat="1" applyFont="1" applyFill="1" applyBorder="1" applyAlignment="1" applyProtection="1">
      <alignment/>
      <protection/>
    </xf>
    <xf numFmtId="50" fontId="0" fillId="3" borderId="0" xfId="0" applyNumberFormat="1" applyFont="1" applyFill="1" applyBorder="1" applyAlignment="1" applyProtection="1">
      <alignment/>
      <protection/>
    </xf>
    <xf numFmtId="0" fontId="0" fillId="3" borderId="0" xfId="0" applyNumberFormat="1" applyFont="1" applyFill="1" applyBorder="1" applyAlignment="1" applyProtection="1">
      <alignment horizontal="left"/>
      <protection/>
    </xf>
    <xf numFmtId="54" fontId="0" fillId="3" borderId="0" xfId="0" applyNumberFormat="1" applyFont="1" applyFill="1" applyBorder="1" applyAlignment="1" applyProtection="1">
      <alignment/>
      <protection/>
    </xf>
    <xf numFmtId="11" fontId="3" fillId="0" borderId="0" xfId="0" applyNumberFormat="1" applyFont="1" applyFill="1" applyBorder="1" applyAlignment="1" applyProtection="1">
      <alignment horizontal="left"/>
      <protection/>
    </xf>
    <xf numFmtId="50" fontId="0" fillId="4" borderId="0" xfId="0" applyNumberFormat="1" applyFont="1" applyFill="1" applyBorder="1" applyAlignment="1" applyProtection="1">
      <alignment horizontal="center"/>
      <protection/>
    </xf>
    <xf numFmtId="51" fontId="0" fillId="5"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53" fontId="0" fillId="3" borderId="0" xfId="0" applyNumberFormat="1" applyFont="1" applyFill="1" applyBorder="1" applyAlignment="1" applyProtection="1">
      <alignment/>
      <protection/>
    </xf>
    <xf numFmtId="0" fontId="0" fillId="4" borderId="0" xfId="0" applyNumberFormat="1" applyFont="1" applyFill="1" applyBorder="1" applyAlignment="1" applyProtection="1">
      <alignment horizontal="left"/>
      <protection/>
    </xf>
    <xf numFmtId="54" fontId="0" fillId="4" borderId="0" xfId="0" applyNumberFormat="1" applyFont="1" applyFill="1" applyBorder="1" applyAlignment="1" applyProtection="1">
      <alignment/>
      <protection/>
    </xf>
    <xf numFmtId="57" fontId="0" fillId="5" borderId="0" xfId="0" applyNumberFormat="1" applyFont="1" applyFill="1" applyBorder="1" applyAlignment="1" applyProtection="1">
      <alignment/>
      <protection/>
    </xf>
    <xf numFmtId="50" fontId="0" fillId="4" borderId="0" xfId="0" applyNumberFormat="1" applyFont="1" applyFill="1" applyBorder="1" applyAlignment="1" applyProtection="1">
      <alignment/>
      <protection/>
    </xf>
    <xf numFmtId="53" fontId="0" fillId="4" borderId="0" xfId="0" applyNumberFormat="1" applyFont="1" applyFill="1" applyBorder="1" applyAlignment="1" applyProtection="1">
      <alignment horizontal="center"/>
      <protection/>
    </xf>
    <xf numFmtId="0" fontId="0" fillId="5" borderId="2" xfId="0" applyNumberFormat="1" applyFont="1" applyFill="1" applyBorder="1" applyAlignment="1" applyProtection="1">
      <alignment/>
      <protection/>
    </xf>
    <xf numFmtId="51" fontId="0" fillId="5" borderId="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1" fontId="0" fillId="0" borderId="0" xfId="0" applyNumberFormat="1" applyFont="1" applyFill="1" applyBorder="1" applyAlignment="1" applyProtection="1">
      <alignment/>
      <protection/>
    </xf>
    <xf numFmtId="50" fontId="0" fillId="5" borderId="2" xfId="0" applyNumberFormat="1" applyFont="1" applyFill="1" applyBorder="1" applyAlignment="1" applyProtection="1">
      <alignment/>
      <protection/>
    </xf>
    <xf numFmtId="51" fontId="3" fillId="0" borderId="0" xfId="0" applyNumberFormat="1" applyFont="1" applyFill="1" applyBorder="1" applyAlignment="1" applyProtection="1">
      <alignment horizontal="left"/>
      <protection/>
    </xf>
    <xf numFmtId="14" fontId="0" fillId="0" borderId="0" xfId="0" applyNumberFormat="1" applyFont="1" applyFill="1" applyBorder="1" applyAlignment="1" applyProtection="1">
      <alignment/>
      <protection/>
    </xf>
    <xf numFmtId="53" fontId="0" fillId="4" borderId="0" xfId="0" applyNumberFormat="1" applyFont="1" applyFill="1" applyBorder="1" applyAlignment="1" applyProtection="1">
      <alignment/>
      <protection/>
    </xf>
    <xf numFmtId="52" fontId="0" fillId="5" borderId="2" xfId="0" applyNumberFormat="1" applyFont="1" applyFill="1" applyBorder="1" applyAlignment="1" applyProtection="1">
      <alignment/>
      <protection/>
    </xf>
    <xf numFmtId="51" fontId="0" fillId="4" borderId="0" xfId="0" applyNumberFormat="1" applyFont="1" applyFill="1" applyBorder="1" applyAlignment="1" applyProtection="1">
      <alignment horizontal="center"/>
      <protection/>
    </xf>
    <xf numFmtId="53" fontId="3"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protection/>
    </xf>
    <xf numFmtId="0" fontId="0" fillId="5" borderId="0" xfId="0" applyNumberFormat="1" applyFont="1" applyFill="1" applyBorder="1" applyAlignment="1" applyProtection="1">
      <alignment/>
      <protection/>
    </xf>
    <xf numFmtId="51" fontId="0" fillId="5" borderId="3" xfId="0" applyNumberFormat="1" applyFont="1" applyFill="1" applyBorder="1" applyAlignment="1" applyProtection="1">
      <alignment/>
      <protection/>
    </xf>
    <xf numFmtId="53" fontId="0" fillId="0" borderId="0" xfId="0" applyNumberFormat="1" applyFont="1" applyFill="1" applyBorder="1" applyAlignment="1" applyProtection="1">
      <alignment/>
      <protection/>
    </xf>
    <xf numFmtId="50" fontId="0" fillId="5" borderId="4" xfId="0" applyNumberFormat="1" applyFont="1" applyFill="1" applyBorder="1" applyAlignment="1" applyProtection="1">
      <alignment/>
      <protection/>
    </xf>
    <xf numFmtId="14" fontId="0" fillId="5" borderId="2" xfId="0" applyNumberFormat="1" applyFont="1" applyFill="1" applyBorder="1" applyAlignment="1" applyProtection="1">
      <alignment/>
      <protection/>
    </xf>
    <xf numFmtId="50" fontId="0" fillId="5" borderId="0" xfId="0" applyNumberFormat="1" applyFont="1" applyFill="1" applyBorder="1" applyAlignment="1" applyProtection="1">
      <alignment/>
      <protection/>
    </xf>
    <xf numFmtId="53" fontId="0" fillId="4" borderId="0" xfId="0" applyNumberFormat="1" applyFont="1" applyFill="1" applyBorder="1" applyAlignment="1" applyProtection="1">
      <alignment horizontal="left"/>
      <protection/>
    </xf>
    <xf numFmtId="53" fontId="0" fillId="0" borderId="0" xfId="0" applyNumberFormat="1" applyFont="1" applyFill="1" applyBorder="1" applyAlignment="1" applyProtection="1">
      <alignment horizontal="center"/>
      <protection/>
    </xf>
    <xf numFmtId="0" fontId="0" fillId="3" borderId="0" xfId="0" applyNumberFormat="1" applyFont="1" applyFill="1" applyBorder="1" applyAlignment="1" applyProtection="1">
      <alignment horizontal="center"/>
      <protection/>
    </xf>
    <xf numFmtId="51" fontId="0" fillId="0" borderId="0" xfId="0" applyNumberFormat="1" applyFont="1" applyFill="1" applyBorder="1" applyAlignment="1" applyProtection="1">
      <alignment/>
      <protection/>
    </xf>
    <xf numFmtId="0" fontId="0" fillId="5" borderId="5" xfId="0" applyNumberFormat="1" applyFont="1" applyFill="1" applyBorder="1" applyAlignment="1" applyProtection="1">
      <alignment/>
      <protection/>
    </xf>
    <xf numFmtId="50" fontId="0" fillId="0" borderId="0" xfId="0" applyNumberFormat="1" applyFont="1" applyFill="1" applyBorder="1" applyAlignment="1" applyProtection="1">
      <alignment/>
      <protection/>
    </xf>
    <xf numFmtId="2" fontId="0" fillId="0" borderId="0" xfId="0" applyNumberFormat="1" applyFont="1" applyFill="1" applyBorder="1" applyAlignment="1" applyProtection="1">
      <alignment/>
      <protection/>
    </xf>
    <xf numFmtId="54" fontId="0" fillId="0" borderId="0" xfId="0" applyNumberFormat="1" applyFont="1" applyFill="1" applyBorder="1" applyAlignment="1" applyProtection="1">
      <alignment/>
      <protection/>
    </xf>
    <xf numFmtId="50" fontId="0" fillId="5" borderId="1" xfId="0" applyNumberFormat="1" applyFont="1" applyFill="1" applyBorder="1" applyAlignment="1" applyProtection="1">
      <alignment/>
      <protection/>
    </xf>
    <xf numFmtId="0" fontId="0" fillId="5" borderId="4" xfId="0" applyNumberFormat="1" applyFont="1" applyFill="1" applyBorder="1" applyAlignment="1" applyProtection="1">
      <alignment/>
      <protection/>
    </xf>
    <xf numFmtId="0" fontId="0" fillId="5" borderId="0" xfId="0" applyNumberFormat="1" applyFont="1" applyFill="1" applyBorder="1" applyAlignment="1" applyProtection="1">
      <alignment horizontal="left"/>
      <protection/>
    </xf>
    <xf numFmtId="50" fontId="0" fillId="5" borderId="5" xfId="0" applyNumberFormat="1" applyFont="1" applyFill="1" applyBorder="1" applyAlignment="1" applyProtection="1">
      <alignment/>
      <protection/>
    </xf>
    <xf numFmtId="0" fontId="0" fillId="4"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5" borderId="5" xfId="0" applyNumberFormat="1" applyFont="1" applyFill="1" applyBorder="1" applyAlignment="1" applyProtection="1">
      <alignment/>
      <protection/>
    </xf>
    <xf numFmtId="51" fontId="0" fillId="5" borderId="3" xfId="0" applyNumberFormat="1" applyFont="1" applyFill="1" applyBorder="1" applyAlignment="1" applyProtection="1">
      <alignment/>
      <protection/>
    </xf>
    <xf numFmtId="50" fontId="0" fillId="5" borderId="5" xfId="0" applyNumberFormat="1" applyFont="1" applyFill="1" applyBorder="1" applyAlignment="1" applyProtection="1">
      <alignment/>
      <protection/>
    </xf>
    <xf numFmtId="52" fontId="0" fillId="5" borderId="2" xfId="0" applyNumberFormat="1" applyFont="1" applyFill="1" applyBorder="1" applyAlignment="1" applyProtection="1">
      <alignment/>
      <protection/>
    </xf>
    <xf numFmtId="0" fontId="0" fillId="5" borderId="2" xfId="0" applyNumberFormat="1" applyFont="1" applyFill="1" applyBorder="1" applyAlignment="1" applyProtection="1">
      <alignment/>
      <protection/>
    </xf>
    <xf numFmtId="14" fontId="0" fillId="5" borderId="2" xfId="0" applyNumberFormat="1" applyFont="1" applyFill="1" applyBorder="1" applyAlignment="1" applyProtection="1">
      <alignment/>
      <protection/>
    </xf>
    <xf numFmtId="0" fontId="0" fillId="5" borderId="4" xfId="0" applyNumberFormat="1" applyFont="1" applyFill="1" applyBorder="1" applyAlignment="1" applyProtection="1">
      <alignment/>
      <protection/>
    </xf>
    <xf numFmtId="50" fontId="0" fillId="5" borderId="4" xfId="0" applyNumberFormat="1" applyFont="1" applyFill="1" applyBorder="1" applyAlignment="1" applyProtection="1">
      <alignment/>
      <protection/>
    </xf>
    <xf numFmtId="0" fontId="0" fillId="5" borderId="1" xfId="0" applyNumberFormat="1" applyFont="1" applyFill="1" applyBorder="1" applyAlignment="1" applyProtection="1">
      <alignment/>
      <protection/>
    </xf>
    <xf numFmtId="50" fontId="0" fillId="5" borderId="1" xfId="0" applyNumberFormat="1" applyFont="1" applyFill="1" applyBorder="1" applyAlignment="1" applyProtection="1">
      <alignment/>
      <protection/>
    </xf>
    <xf numFmtId="50" fontId="0" fillId="5" borderId="2" xfId="0" applyNumberFormat="1" applyFont="1" applyFill="1" applyBorder="1" applyAlignment="1" applyProtection="1">
      <alignment/>
      <protection/>
    </xf>
    <xf numFmtId="51" fontId="0" fillId="5" borderId="2" xfId="0" applyNumberFormat="1" applyFont="1" applyFill="1" applyBorder="1" applyAlignment="1" applyProtection="1">
      <alignment/>
      <protection/>
    </xf>
    <xf numFmtId="50" fontId="0" fillId="5" borderId="1" xfId="0" applyNumberFormat="1" applyFont="1" applyFill="1" applyBorder="1" applyAlignment="1" applyProtection="1">
      <alignment/>
      <protection/>
    </xf>
    <xf numFmtId="50" fontId="0" fillId="5" borderId="5" xfId="0" applyNumberFormat="1" applyFont="1" applyFill="1" applyBorder="1" applyAlignment="1" applyProtection="1">
      <alignment/>
      <protection/>
    </xf>
    <xf numFmtId="50" fontId="0" fillId="5" borderId="4" xfId="0" applyNumberFormat="1" applyFont="1" applyFill="1" applyBorder="1" applyAlignment="1" applyProtection="1">
      <alignment/>
      <protection/>
    </xf>
    <xf numFmtId="14" fontId="0" fillId="5" borderId="2" xfId="0" applyNumberFormat="1" applyFont="1" applyFill="1" applyBorder="1" applyAlignment="1" applyProtection="1">
      <alignment/>
      <protection/>
    </xf>
    <xf numFmtId="0" fontId="0" fillId="5" borderId="2" xfId="0" applyNumberFormat="1" applyFont="1" applyFill="1" applyBorder="1" applyAlignment="1" applyProtection="1">
      <alignment/>
      <protection/>
    </xf>
    <xf numFmtId="51" fontId="0" fillId="5" borderId="3" xfId="0" applyNumberFormat="1" applyFont="1" applyFill="1" applyBorder="1" applyAlignment="1" applyProtection="1">
      <alignment/>
      <protection/>
    </xf>
    <xf numFmtId="0" fontId="0" fillId="5" borderId="1" xfId="0" applyNumberFormat="1" applyFont="1" applyFill="1" applyBorder="1" applyAlignment="1" applyProtection="1">
      <alignment/>
      <protection/>
    </xf>
    <xf numFmtId="51" fontId="0" fillId="5" borderId="2" xfId="0" applyNumberFormat="1" applyFont="1" applyFill="1" applyBorder="1" applyAlignment="1" applyProtection="1">
      <alignment/>
      <protection/>
    </xf>
    <xf numFmtId="0" fontId="0" fillId="5" borderId="4" xfId="0" applyNumberFormat="1" applyFont="1" applyFill="1" applyBorder="1" applyAlignment="1" applyProtection="1">
      <alignment/>
      <protection/>
    </xf>
    <xf numFmtId="56" fontId="0" fillId="0" borderId="0" xfId="0" applyNumberFormat="1" applyFont="1" applyFill="1" applyBorder="1" applyAlignment="1" applyProtection="1">
      <alignment/>
      <protection/>
    </xf>
    <xf numFmtId="52" fontId="0" fillId="5" borderId="2" xfId="0" applyNumberFormat="1" applyFont="1" applyFill="1" applyBorder="1" applyAlignment="1" applyProtection="1">
      <alignment/>
      <protection/>
    </xf>
    <xf numFmtId="52" fontId="3" fillId="0" borderId="0" xfId="0" applyNumberFormat="1" applyFont="1" applyFill="1" applyBorder="1" applyAlignment="1" applyProtection="1">
      <alignment horizontal="left"/>
      <protection/>
    </xf>
    <xf numFmtId="0" fontId="0" fillId="5" borderId="5" xfId="0" applyNumberFormat="1" applyFont="1" applyFill="1" applyBorder="1" applyAlignment="1" applyProtection="1">
      <alignment/>
      <protection/>
    </xf>
    <xf numFmtId="50" fontId="0" fillId="5" borderId="2" xfId="0" applyNumberFormat="1" applyFont="1" applyFill="1" applyBorder="1" applyAlignment="1" applyProtection="1">
      <alignment/>
      <protection/>
    </xf>
    <xf numFmtId="0" fontId="0" fillId="5" borderId="4" xfId="0" applyNumberFormat="1" applyFont="1" applyFill="1" applyBorder="1" applyAlignment="1" applyProtection="1">
      <alignment/>
      <protection/>
    </xf>
    <xf numFmtId="50" fontId="0" fillId="5" borderId="1" xfId="0" applyNumberFormat="1" applyFont="1" applyFill="1" applyBorder="1" applyAlignment="1" applyProtection="1">
      <alignment/>
      <protection/>
    </xf>
    <xf numFmtId="0" fontId="0" fillId="5" borderId="2" xfId="0" applyNumberFormat="1" applyFont="1" applyFill="1" applyBorder="1" applyAlignment="1" applyProtection="1">
      <alignment/>
      <protection/>
    </xf>
    <xf numFmtId="0" fontId="0" fillId="5" borderId="1" xfId="0" applyNumberFormat="1" applyFont="1" applyFill="1" applyBorder="1" applyAlignment="1" applyProtection="1">
      <alignment/>
      <protection/>
    </xf>
    <xf numFmtId="52" fontId="0" fillId="5" borderId="2" xfId="0" applyNumberFormat="1" applyFont="1" applyFill="1" applyBorder="1" applyAlignment="1" applyProtection="1">
      <alignment/>
      <protection/>
    </xf>
    <xf numFmtId="51" fontId="0" fillId="5" borderId="2" xfId="0" applyNumberFormat="1" applyFont="1" applyFill="1" applyBorder="1" applyAlignment="1" applyProtection="1">
      <alignment/>
      <protection/>
    </xf>
    <xf numFmtId="50" fontId="0" fillId="5" borderId="5" xfId="0" applyNumberFormat="1" applyFont="1" applyFill="1" applyBorder="1" applyAlignment="1" applyProtection="1">
      <alignment/>
      <protection/>
    </xf>
    <xf numFmtId="51" fontId="0" fillId="5" borderId="3" xfId="0" applyNumberFormat="1" applyFont="1" applyFill="1" applyBorder="1" applyAlignment="1" applyProtection="1">
      <alignment/>
      <protection/>
    </xf>
    <xf numFmtId="14" fontId="0" fillId="5" borderId="2" xfId="0" applyNumberFormat="1" applyFont="1" applyFill="1" applyBorder="1" applyAlignment="1" applyProtection="1">
      <alignment/>
      <protection/>
    </xf>
    <xf numFmtId="50" fontId="0" fillId="5" borderId="2" xfId="0" applyNumberFormat="1" applyFont="1" applyFill="1" applyBorder="1" applyAlignment="1" applyProtection="1">
      <alignment/>
      <protection/>
    </xf>
    <xf numFmtId="0" fontId="0" fillId="5" borderId="5" xfId="0" applyNumberFormat="1" applyFont="1" applyFill="1" applyBorder="1" applyAlignment="1" applyProtection="1">
      <alignment/>
      <protection/>
    </xf>
    <xf numFmtId="50" fontId="0" fillId="5" borderId="4" xfId="0" applyNumberFormat="1" applyFont="1" applyFill="1" applyBorder="1" applyAlignment="1" applyProtection="1">
      <alignment/>
      <protection/>
    </xf>
    <xf numFmtId="58" fontId="0" fillId="0" borderId="0" xfId="0" applyNumberFormat="1" applyFont="1" applyFill="1" applyBorder="1" applyAlignment="1" applyProtection="1">
      <alignment/>
      <protection/>
    </xf>
    <xf numFmtId="50" fontId="0" fillId="0" borderId="6"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horizont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C7C7C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9"/>
  <sheetViews>
    <sheetView tabSelected="1" zoomScaleSheetLayoutView="1" workbookViewId="0" topLeftCell="A1">
      <selection activeCell="G13" sqref="G13"/>
    </sheetView>
  </sheetViews>
  <sheetFormatPr defaultColWidth="9.140625" defaultRowHeight="12.75"/>
  <cols>
    <col min="1" max="1" width="12.57421875" style="2" bestFit="1" customWidth="1"/>
    <col min="2" max="256" width="9.140625" style="1" customWidth="1"/>
  </cols>
  <sheetData>
    <row r="1" ht="12.75">
      <c r="A1" s="3" t="s">
        <v>0</v>
      </c>
    </row>
    <row r="3" spans="1:256" ht="12.75">
      <c r="A3" s="7">
        <v>39692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5" ht="12.75">
      <c r="A5" s="2" t="s">
        <v>3</v>
      </c>
    </row>
    <row r="6" ht="12.75">
      <c r="A6" s="2" t="s">
        <v>8</v>
      </c>
    </row>
    <row r="7" ht="12.75">
      <c r="A7" s="2" t="s">
        <v>16</v>
      </c>
    </row>
    <row r="9" ht="12.75">
      <c r="A9" s="2" t="s">
        <v>5</v>
      </c>
    </row>
    <row r="10" ht="12.75">
      <c r="A10" s="2" t="s">
        <v>12</v>
      </c>
    </row>
    <row r="11" ht="12.75">
      <c r="A11" s="2" t="s">
        <v>18</v>
      </c>
    </row>
    <row r="12" ht="12.75"/>
    <row r="15" spans="1:256" ht="12.75">
      <c r="A15" s="7">
        <v>38203</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7" ht="12.75">
      <c r="A17" s="2" t="s">
        <v>10</v>
      </c>
    </row>
    <row r="18" ht="12.75">
      <c r="A18" s="2" t="s">
        <v>15</v>
      </c>
    </row>
    <row r="20" spans="1:256" ht="12.75">
      <c r="A20" s="7">
        <v>38202</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2" ht="12.75">
      <c r="A22" s="2" t="s">
        <v>17</v>
      </c>
    </row>
    <row r="23" ht="12.75">
      <c r="A23" s="2" t="s">
        <v>2</v>
      </c>
    </row>
    <row r="24" ht="12.75">
      <c r="A24" s="2" t="s">
        <v>7</v>
      </c>
    </row>
    <row r="25" ht="12.75">
      <c r="A25" s="2" t="s">
        <v>14</v>
      </c>
    </row>
    <row r="26" ht="12.75">
      <c r="A26" s="2" t="s">
        <v>20</v>
      </c>
    </row>
    <row r="28" spans="1:256" ht="12.75">
      <c r="A28" s="5">
        <v>38198</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30" ht="12.75">
      <c r="A30" s="2" t="s">
        <v>21</v>
      </c>
    </row>
    <row r="31" ht="12.75">
      <c r="A31" s="2" t="s">
        <v>4</v>
      </c>
    </row>
    <row r="32" ht="12.75">
      <c r="A32" s="2" t="s">
        <v>11</v>
      </c>
    </row>
    <row r="34" ht="12.75">
      <c r="A34" s="2" t="s">
        <v>1</v>
      </c>
    </row>
    <row r="35" ht="12.75">
      <c r="A35" s="2" t="s">
        <v>6</v>
      </c>
    </row>
    <row r="36" ht="12.75">
      <c r="A36" s="2" t="s">
        <v>13</v>
      </c>
    </row>
    <row r="37" ht="12.75">
      <c r="A37" s="2" t="s">
        <v>19</v>
      </c>
    </row>
    <row r="39" ht="12.75">
      <c r="A39" s="2" t="s">
        <v>9</v>
      </c>
    </row>
  </sheetData>
  <sheetProtection/>
  <printOptions/>
  <pageMargins left="1" right="1" top="1.6666666666666667" bottom="1.6666666666666667" header="1" footer="1"/>
  <pageSetup cellComments="asDisplayed" fitToHeight="0" fitToWidth="0" horizontalDpi="600" verticalDpi="600" orientation="portrait" paperSize="9"/>
  <headerFooter alignWithMargins="0">
    <oddHeader>&amp;L&amp;C&amp;[TAB]&amp;R</oddHeader>
    <oddFooter>&amp;L&amp;CPage &amp;[PAGE]&amp;R</oddFooter>
  </headerFooter>
</worksheet>
</file>

<file path=xl/worksheets/sheet2.xml><?xml version="1.0" encoding="utf-8"?>
<worksheet xmlns="http://schemas.openxmlformats.org/spreadsheetml/2006/main" xmlns:r="http://schemas.openxmlformats.org/officeDocument/2006/relationships">
  <dimension ref="A1:AO226"/>
  <sheetViews>
    <sheetView zoomScaleSheetLayoutView="1" workbookViewId="0" topLeftCell="A1">
      <selection activeCell="A1" sqref="A1"/>
    </sheetView>
  </sheetViews>
  <sheetFormatPr defaultColWidth="9.140625" defaultRowHeight="12.75"/>
  <cols>
    <col min="1" max="1" width="2.57421875" style="1" customWidth="1"/>
    <col min="2" max="2" width="12.28125" style="1" customWidth="1"/>
    <col min="3" max="3" width="2.28125" style="1" customWidth="1"/>
    <col min="4" max="4" width="9.140625" style="1" customWidth="1"/>
    <col min="5" max="5" width="12.28125" style="1" customWidth="1"/>
    <col min="6" max="6" width="2.28125" style="1" customWidth="1"/>
    <col min="7" max="7" width="12.00390625" style="1" bestFit="1" customWidth="1"/>
    <col min="8" max="8" width="6.00390625" style="21" customWidth="1"/>
    <col min="9" max="9" width="9.140625" style="1" customWidth="1"/>
    <col min="10" max="10" width="5.421875" style="1" customWidth="1"/>
    <col min="11" max="11" width="9.140625" style="1" customWidth="1"/>
    <col min="12" max="12" width="3.57421875" style="1" customWidth="1"/>
    <col min="13" max="13" width="11.421875" style="1" customWidth="1"/>
    <col min="14" max="14" width="4.00390625" style="1" customWidth="1"/>
    <col min="15" max="15" width="9.140625" style="1" customWidth="1"/>
    <col min="16" max="16" width="2.57421875" style="1" customWidth="1"/>
    <col min="17" max="17" width="2.421875" style="1" customWidth="1"/>
    <col min="18" max="18" width="17.140625" style="39" bestFit="1" customWidth="1"/>
    <col min="19" max="19" width="10.57421875" style="47" bestFit="1" customWidth="1"/>
    <col min="20" max="20" width="9.140625" style="47" customWidth="1"/>
    <col min="21" max="21" width="10.421875" style="47" customWidth="1"/>
    <col min="22" max="22" width="9.8515625" style="47" customWidth="1"/>
    <col min="23" max="24" width="9.140625" style="47" customWidth="1"/>
    <col min="25" max="25" width="9.8515625" style="47" customWidth="1"/>
    <col min="26" max="26" width="9.7109375" style="47" customWidth="1"/>
    <col min="27" max="27" width="16.7109375" style="47" bestFit="1" customWidth="1"/>
    <col min="28" max="41" width="9.140625" style="39" customWidth="1"/>
    <col min="42" max="85" width="9.140625" style="1" customWidth="1"/>
  </cols>
  <sheetData>
    <row r="1" ht="12.75">
      <c r="A1" s="3" t="s">
        <v>0</v>
      </c>
    </row>
    <row r="2" ht="12.75">
      <c r="A2" s="34"/>
    </row>
    <row r="3" spans="2:4" ht="12.75">
      <c r="B3" s="1" t="s">
        <v>93</v>
      </c>
      <c r="C3" s="44"/>
      <c r="D3" s="1" t="s">
        <v>94</v>
      </c>
    </row>
    <row r="4" spans="3:28" ht="12.75">
      <c r="C4" s="11"/>
      <c r="D4" s="1" t="s">
        <v>121</v>
      </c>
      <c r="S4" s="27" t="s">
        <v>125</v>
      </c>
      <c r="T4" s="27"/>
      <c r="U4" s="27"/>
      <c r="V4" s="27"/>
      <c r="W4" s="27"/>
      <c r="X4" s="27"/>
      <c r="Y4" s="27"/>
      <c r="Z4" s="27"/>
      <c r="AA4" s="27"/>
      <c r="AB4" s="27"/>
    </row>
    <row r="5" ht="12.75">
      <c r="A5" s="34"/>
    </row>
    <row r="6" spans="1:28" ht="12.75">
      <c r="A6" s="8" t="s">
        <v>177</v>
      </c>
      <c r="B6" s="8"/>
      <c r="C6" s="8"/>
      <c r="D6" s="8"/>
      <c r="E6" s="8"/>
      <c r="F6" s="8"/>
      <c r="G6" s="8"/>
      <c r="H6" s="16"/>
      <c r="I6" s="8"/>
      <c r="J6" s="8"/>
      <c r="K6" s="8"/>
      <c r="L6" s="8"/>
      <c r="M6" s="8"/>
      <c r="N6" s="8"/>
      <c r="O6" s="8"/>
      <c r="P6" s="8"/>
      <c r="R6" s="48" t="s">
        <v>180</v>
      </c>
      <c r="S6" s="46" t="s">
        <v>181</v>
      </c>
      <c r="T6" s="27"/>
      <c r="U6" s="27"/>
      <c r="V6" s="27"/>
      <c r="W6" s="27"/>
      <c r="X6" s="27"/>
      <c r="Y6" s="27"/>
      <c r="Z6" s="27"/>
      <c r="AA6" s="27"/>
      <c r="AB6" s="58"/>
    </row>
    <row r="7" spans="18:28" ht="12.75">
      <c r="R7" s="48"/>
      <c r="S7" s="46" t="s">
        <v>210</v>
      </c>
      <c r="T7" s="27"/>
      <c r="U7" s="27"/>
      <c r="V7" s="27"/>
      <c r="W7" s="27"/>
      <c r="X7" s="27"/>
      <c r="Y7" s="27"/>
      <c r="Z7" s="27"/>
      <c r="AA7" s="27"/>
      <c r="AB7" s="58"/>
    </row>
    <row r="8" spans="2:28" ht="12.75">
      <c r="B8" s="1" t="s">
        <v>68</v>
      </c>
      <c r="C8" s="1" t="s">
        <v>33</v>
      </c>
      <c r="D8" s="1" t="s">
        <v>230</v>
      </c>
      <c r="F8" s="1" t="s">
        <v>33</v>
      </c>
      <c r="G8" s="31">
        <v>299792458</v>
      </c>
      <c r="H8" s="21" t="s">
        <v>232</v>
      </c>
      <c r="S8" s="27"/>
      <c r="T8" s="27"/>
      <c r="U8" s="27"/>
      <c r="V8" s="27"/>
      <c r="W8" s="27"/>
      <c r="X8" s="27"/>
      <c r="Y8" s="27"/>
      <c r="Z8" s="27"/>
      <c r="AA8" s="27"/>
      <c r="AB8" s="58"/>
    </row>
    <row r="9" spans="7:28" ht="12.75">
      <c r="G9" s="31"/>
      <c r="R9" s="48" t="s">
        <v>51</v>
      </c>
      <c r="S9" s="58" t="s">
        <v>28</v>
      </c>
      <c r="T9" s="58" t="s">
        <v>23</v>
      </c>
      <c r="U9" s="58">
        <f>-$G$42/2-$G$32</f>
        <v>-8.498583349999622</v>
      </c>
      <c r="V9" s="37">
        <f>$G$22+$G$30</f>
        <v>0.66</v>
      </c>
      <c r="W9" s="58" t="s">
        <v>22</v>
      </c>
      <c r="X9" s="58" t="s">
        <v>23</v>
      </c>
      <c r="Y9" s="58">
        <f>$G$42/2+$G$32</f>
        <v>8.498583349999622</v>
      </c>
      <c r="Z9" s="19">
        <f>V9+$G$41</f>
        <v>1.2966002488825341</v>
      </c>
      <c r="AA9" s="58" t="s">
        <v>24</v>
      </c>
      <c r="AB9" s="58"/>
    </row>
    <row r="10" spans="1:28" ht="12.75">
      <c r="A10" s="8" t="s">
        <v>82</v>
      </c>
      <c r="B10" s="8"/>
      <c r="C10" s="8"/>
      <c r="D10" s="8"/>
      <c r="E10" s="8"/>
      <c r="F10" s="8"/>
      <c r="G10" s="8"/>
      <c r="H10" s="16"/>
      <c r="I10" s="8"/>
      <c r="J10" s="8"/>
      <c r="K10" s="8"/>
      <c r="L10" s="8"/>
      <c r="M10" s="8"/>
      <c r="N10" s="8"/>
      <c r="O10" s="8"/>
      <c r="P10" s="8"/>
      <c r="S10" s="27"/>
      <c r="T10" s="27"/>
      <c r="U10" s="27"/>
      <c r="V10" s="27"/>
      <c r="W10" s="27"/>
      <c r="X10" s="27"/>
      <c r="Y10" s="27"/>
      <c r="Z10" s="27"/>
      <c r="AA10" s="27"/>
      <c r="AB10" s="58"/>
    </row>
    <row r="11" spans="18:28" ht="12.75">
      <c r="R11" s="48" t="s">
        <v>116</v>
      </c>
      <c r="S11" s="27" t="s">
        <v>28</v>
      </c>
      <c r="T11" s="27" t="s">
        <v>23</v>
      </c>
      <c r="U11" s="27">
        <f>-15*$G$42/32-$G$50/2</f>
        <v>-7.980019099332948</v>
      </c>
      <c r="V11" s="27">
        <f>$Z$9</f>
        <v>1.2966002488825341</v>
      </c>
      <c r="W11" s="27" t="s">
        <v>22</v>
      </c>
      <c r="X11" s="27" t="s">
        <v>23</v>
      </c>
      <c r="Y11" s="27">
        <f>-15*$G$42/32+$G$50/2</f>
        <v>-7.9360746819163435</v>
      </c>
      <c r="Z11" s="27">
        <f>$Z$9+$G$22</f>
        <v>1.6566002488825342</v>
      </c>
      <c r="AA11" s="27" t="s">
        <v>24</v>
      </c>
      <c r="AB11" s="58"/>
    </row>
    <row r="12" spans="2:28" ht="12.75">
      <c r="B12" s="40" t="s">
        <v>143</v>
      </c>
      <c r="C12" s="40" t="s">
        <v>33</v>
      </c>
      <c r="D12" s="40" t="s">
        <v>144</v>
      </c>
      <c r="E12" s="40"/>
      <c r="F12" s="40" t="s">
        <v>33</v>
      </c>
      <c r="G12" s="28">
        <v>2.20066</v>
      </c>
      <c r="H12" s="56"/>
      <c r="I12" s="40"/>
      <c r="J12" s="40"/>
      <c r="K12" s="40"/>
      <c r="L12" s="40"/>
      <c r="M12" s="40"/>
      <c r="N12" s="40"/>
      <c r="O12" s="40"/>
      <c r="P12" s="40"/>
      <c r="R12" s="48"/>
      <c r="S12" s="27" t="s">
        <v>28</v>
      </c>
      <c r="T12" s="27" t="s">
        <v>23</v>
      </c>
      <c r="U12" s="27">
        <f>-13*$G$42/32-$G$50/2</f>
        <v>-6.918946180582996</v>
      </c>
      <c r="V12" s="27">
        <f>$Z$9</f>
        <v>1.2966002488825341</v>
      </c>
      <c r="W12" s="27" t="s">
        <v>22</v>
      </c>
      <c r="X12" s="27" t="s">
        <v>23</v>
      </c>
      <c r="Y12" s="27">
        <f>-13*$G$42/32+$G$50/2</f>
        <v>-6.8750017631663916</v>
      </c>
      <c r="Z12" s="27">
        <f>$Z$9+$G$22</f>
        <v>1.6566002488825342</v>
      </c>
      <c r="AA12" s="27" t="s">
        <v>24</v>
      </c>
      <c r="AB12" s="58"/>
    </row>
    <row r="13" spans="2:28" ht="12.75">
      <c r="B13" s="40" t="s">
        <v>170</v>
      </c>
      <c r="C13" s="40" t="s">
        <v>33</v>
      </c>
      <c r="D13" s="40" t="s">
        <v>171</v>
      </c>
      <c r="E13" s="40"/>
      <c r="F13" s="40" t="s">
        <v>33</v>
      </c>
      <c r="G13" s="36">
        <v>5675000000</v>
      </c>
      <c r="H13" s="56" t="s">
        <v>172</v>
      </c>
      <c r="I13" s="40"/>
      <c r="J13" s="40"/>
      <c r="K13" s="40"/>
      <c r="L13" s="40"/>
      <c r="M13" s="40"/>
      <c r="N13" s="40"/>
      <c r="O13" s="40"/>
      <c r="P13" s="40"/>
      <c r="R13" s="48"/>
      <c r="S13" s="27" t="s">
        <v>28</v>
      </c>
      <c r="T13" s="27" t="s">
        <v>23</v>
      </c>
      <c r="U13" s="27">
        <f>-11*$G$42/32-$G$50/2</f>
        <v>-5.857873261833042</v>
      </c>
      <c r="V13" s="27">
        <f>$Z$9</f>
        <v>1.2966002488825341</v>
      </c>
      <c r="W13" s="27" t="s">
        <v>22</v>
      </c>
      <c r="X13" s="27" t="s">
        <v>23</v>
      </c>
      <c r="Y13" s="27">
        <f>-11*$G$42/32+$G$50/2</f>
        <v>-5.813928844416438</v>
      </c>
      <c r="Z13" s="27">
        <f>$Z$9+$G$22</f>
        <v>1.6566002488825342</v>
      </c>
      <c r="AA13" s="27" t="s">
        <v>24</v>
      </c>
      <c r="AB13" s="58"/>
    </row>
    <row r="14" spans="2:28" ht="12.75">
      <c r="B14" s="40" t="s">
        <v>199</v>
      </c>
      <c r="C14" s="40" t="s">
        <v>33</v>
      </c>
      <c r="D14" s="40" t="s">
        <v>200</v>
      </c>
      <c r="E14" s="40"/>
      <c r="F14" s="40" t="s">
        <v>33</v>
      </c>
      <c r="G14" s="28"/>
      <c r="H14" s="56" t="s">
        <v>99</v>
      </c>
      <c r="I14" s="40" t="s">
        <v>202</v>
      </c>
      <c r="J14" s="40"/>
      <c r="K14" s="40"/>
      <c r="L14" s="40"/>
      <c r="M14" s="40"/>
      <c r="N14" s="40"/>
      <c r="O14" s="40"/>
      <c r="P14" s="40"/>
      <c r="R14" s="48"/>
      <c r="S14" s="27" t="s">
        <v>28</v>
      </c>
      <c r="T14" s="27" t="s">
        <v>23</v>
      </c>
      <c r="U14" s="27">
        <f>-9*$G$42/32-$G$50/2</f>
        <v>-4.79680034308309</v>
      </c>
      <c r="V14" s="27">
        <f>$Z$9</f>
        <v>1.2966002488825341</v>
      </c>
      <c r="W14" s="27" t="s">
        <v>22</v>
      </c>
      <c r="X14" s="27" t="s">
        <v>23</v>
      </c>
      <c r="Y14" s="27">
        <f>-9*$G$42/32+$G$50/2</f>
        <v>-4.752855925666486</v>
      </c>
      <c r="Z14" s="27">
        <f>$Z$9+$G$22</f>
        <v>1.6566002488825342</v>
      </c>
      <c r="AA14" s="27" t="s">
        <v>24</v>
      </c>
      <c r="AB14" s="58"/>
    </row>
    <row r="15" spans="2:28" ht="12.75">
      <c r="B15" s="40"/>
      <c r="C15" s="40"/>
      <c r="D15" s="40"/>
      <c r="E15" s="40"/>
      <c r="F15" s="40"/>
      <c r="G15" s="25"/>
      <c r="H15" s="56"/>
      <c r="I15" s="40"/>
      <c r="J15" s="40"/>
      <c r="K15" s="40"/>
      <c r="L15" s="40"/>
      <c r="M15" s="40"/>
      <c r="N15" s="40"/>
      <c r="O15" s="40"/>
      <c r="P15" s="40"/>
      <c r="R15" s="48"/>
      <c r="S15" s="27" t="s">
        <v>28</v>
      </c>
      <c r="T15" s="27" t="s">
        <v>23</v>
      </c>
      <c r="U15" s="27">
        <f>-7*$G$42/32-$G$50/2</f>
        <v>-3.7357274243331373</v>
      </c>
      <c r="V15" s="27">
        <f>$Z$9</f>
        <v>1.2966002488825341</v>
      </c>
      <c r="W15" s="27" t="s">
        <v>22</v>
      </c>
      <c r="X15" s="27" t="s">
        <v>23</v>
      </c>
      <c r="Y15" s="27">
        <f>-7*$G$42/32+$G$50/2</f>
        <v>-3.6917830069165323</v>
      </c>
      <c r="Z15" s="27">
        <f>$Z$9+$G$22</f>
        <v>1.6566002488825342</v>
      </c>
      <c r="AA15" s="27" t="s">
        <v>24</v>
      </c>
      <c r="AB15" s="58"/>
    </row>
    <row r="16" spans="2:28" ht="12" customHeight="1">
      <c r="B16" s="40" t="s">
        <v>40</v>
      </c>
      <c r="C16" s="40" t="s">
        <v>33</v>
      </c>
      <c r="D16" s="40" t="s">
        <v>41</v>
      </c>
      <c r="E16" s="40"/>
      <c r="F16" s="40" t="s">
        <v>33</v>
      </c>
      <c r="G16" s="13">
        <f>IF(ISBLANK(I16),IF(ISBLANK(K16),IF(ISBLANK(M16),IF(ISBLANK(O16),"NO VALUE!",O16*0.0254),M16/1000),K16/100),I16)</f>
        <v>0.13335</v>
      </c>
      <c r="H16" s="56" t="s">
        <v>35</v>
      </c>
      <c r="I16" s="55"/>
      <c r="J16" s="40" t="s">
        <v>35</v>
      </c>
      <c r="K16" s="55"/>
      <c r="L16" s="40" t="s">
        <v>43</v>
      </c>
      <c r="M16" s="55"/>
      <c r="N16" s="40" t="s">
        <v>44</v>
      </c>
      <c r="O16" s="43">
        <v>5.25</v>
      </c>
      <c r="P16" s="40" t="s">
        <v>45</v>
      </c>
      <c r="R16" s="48"/>
      <c r="S16" s="27" t="s">
        <v>28</v>
      </c>
      <c r="T16" s="27" t="s">
        <v>23</v>
      </c>
      <c r="U16" s="27">
        <f>-5*$G$42/32-$G$50/2</f>
        <v>-2.6746545055831845</v>
      </c>
      <c r="V16" s="27">
        <f>$Z$9</f>
        <v>1.2966002488825341</v>
      </c>
      <c r="W16" s="27" t="s">
        <v>22</v>
      </c>
      <c r="X16" s="27" t="s">
        <v>23</v>
      </c>
      <c r="Y16" s="27">
        <f>-5*$G$42/32+$G$50/2</f>
        <v>-2.6307100881665795</v>
      </c>
      <c r="Z16" s="27">
        <f>$Z$9+$G$22</f>
        <v>1.6566002488825342</v>
      </c>
      <c r="AA16" s="27" t="s">
        <v>24</v>
      </c>
      <c r="AB16" s="58"/>
    </row>
    <row r="17" spans="2:28" ht="12.75">
      <c r="B17" s="40" t="s">
        <v>76</v>
      </c>
      <c r="C17" s="40" t="s">
        <v>33</v>
      </c>
      <c r="D17" s="40" t="s">
        <v>77</v>
      </c>
      <c r="E17" s="40"/>
      <c r="F17" s="40" t="s">
        <v>33</v>
      </c>
      <c r="G17" s="13">
        <f>IF(ISBLANK(I17),IF(ISBLANK(K17),IF(ISBLANK(M17),IF(ISBLANK(O17),"NO VALUE!",O17*0.0254),M17/1000),K17/100),I17)</f>
        <v>0.000127</v>
      </c>
      <c r="H17" s="56" t="s">
        <v>35</v>
      </c>
      <c r="I17" s="14"/>
      <c r="J17" s="40" t="s">
        <v>35</v>
      </c>
      <c r="K17" s="14"/>
      <c r="L17" s="40" t="s">
        <v>43</v>
      </c>
      <c r="M17" s="14"/>
      <c r="N17" s="40" t="s">
        <v>44</v>
      </c>
      <c r="O17" s="54">
        <v>0.005</v>
      </c>
      <c r="P17" s="40" t="s">
        <v>45</v>
      </c>
      <c r="R17" s="48"/>
      <c r="S17" s="27" t="s">
        <v>28</v>
      </c>
      <c r="T17" s="27" t="s">
        <v>23</v>
      </c>
      <c r="U17" s="27">
        <f>-3*$G$42/32-$G$50/2</f>
        <v>-1.6135815868332317</v>
      </c>
      <c r="V17" s="27">
        <f>$Z$9</f>
        <v>1.2966002488825341</v>
      </c>
      <c r="W17" s="27" t="s">
        <v>22</v>
      </c>
      <c r="X17" s="27" t="s">
        <v>23</v>
      </c>
      <c r="Y17" s="27">
        <f>-3*$G$42/32+$G$50/2</f>
        <v>-1.5696371694166267</v>
      </c>
      <c r="Z17" s="27">
        <f>$Z$9+$G$22</f>
        <v>1.6566002488825342</v>
      </c>
      <c r="AA17" s="27" t="s">
        <v>24</v>
      </c>
      <c r="AB17" s="58"/>
    </row>
    <row r="18" spans="2:28" ht="12.75">
      <c r="B18" s="40" t="s">
        <v>102</v>
      </c>
      <c r="C18" s="40" t="s">
        <v>33</v>
      </c>
      <c r="D18" s="40" t="s">
        <v>103</v>
      </c>
      <c r="E18" s="40"/>
      <c r="F18" s="40" t="s">
        <v>33</v>
      </c>
      <c r="G18" s="13">
        <f>IF(ISBLANK(I18),IF(ISBLANK(K18),IF(ISBLANK(M18),IF(ISBLANK(O18),"NO VALUE!",O18*0.0254),M18/1000),K18/100),I18)</f>
        <v>0.0018287999999999998</v>
      </c>
      <c r="H18" s="56" t="s">
        <v>35</v>
      </c>
      <c r="I18" s="14"/>
      <c r="J18" s="40" t="s">
        <v>35</v>
      </c>
      <c r="K18" s="14"/>
      <c r="L18" s="40" t="s">
        <v>43</v>
      </c>
      <c r="M18" s="14"/>
      <c r="N18" s="40" t="s">
        <v>44</v>
      </c>
      <c r="O18" s="14">
        <v>0.072</v>
      </c>
      <c r="P18" s="40" t="s">
        <v>45</v>
      </c>
      <c r="R18" s="48"/>
      <c r="S18" s="27" t="s">
        <v>28</v>
      </c>
      <c r="T18" s="27" t="s">
        <v>23</v>
      </c>
      <c r="U18" s="27">
        <f>-1*$G$42/32-$G$50/2</f>
        <v>-0.5525086680832789</v>
      </c>
      <c r="V18" s="27">
        <f>$Z$9</f>
        <v>1.2966002488825341</v>
      </c>
      <c r="W18" s="27" t="s">
        <v>22</v>
      </c>
      <c r="X18" s="27" t="s">
        <v>23</v>
      </c>
      <c r="Y18" s="27">
        <f>-1*$G$42/32+$G$50/2</f>
        <v>-0.5085642506666739</v>
      </c>
      <c r="Z18" s="27">
        <f>$Z$9+$G$22</f>
        <v>1.6566002488825342</v>
      </c>
      <c r="AA18" s="27" t="s">
        <v>24</v>
      </c>
      <c r="AB18" s="58"/>
    </row>
    <row r="19" spans="2:28" ht="12.75">
      <c r="B19" s="40" t="s">
        <v>136</v>
      </c>
      <c r="C19" s="40"/>
      <c r="D19" s="40" t="s">
        <v>137</v>
      </c>
      <c r="E19" s="40"/>
      <c r="F19" s="40" t="s">
        <v>33</v>
      </c>
      <c r="G19" s="13">
        <f>IF(ISBLANK(I19),IF(ISBLANK(K19),IF(ISBLANK(M19),IF(ISBLANK(O19),"NO VALUE!",O19*0.0254),M19/1000),K19/100),I19)</f>
        <v>1.7525999999999998E-05</v>
      </c>
      <c r="H19" s="56" t="s">
        <v>35</v>
      </c>
      <c r="I19" s="14"/>
      <c r="J19" s="40" t="s">
        <v>35</v>
      </c>
      <c r="K19" s="14"/>
      <c r="L19" s="40" t="s">
        <v>43</v>
      </c>
      <c r="M19" s="14"/>
      <c r="N19" s="40" t="s">
        <v>44</v>
      </c>
      <c r="O19" s="54">
        <v>0.00069</v>
      </c>
      <c r="P19" s="40" t="s">
        <v>45</v>
      </c>
      <c r="R19" s="48"/>
      <c r="S19" s="27" t="s">
        <v>28</v>
      </c>
      <c r="T19" s="27" t="s">
        <v>23</v>
      </c>
      <c r="U19" s="27">
        <f>1*$G$42/32-$G$50/2</f>
        <v>0.5085642506666739</v>
      </c>
      <c r="V19" s="27">
        <f>$Z$9</f>
        <v>1.2966002488825341</v>
      </c>
      <c r="W19" s="27" t="s">
        <v>22</v>
      </c>
      <c r="X19" s="27" t="s">
        <v>23</v>
      </c>
      <c r="Y19" s="27">
        <f>1*$G$42/32+$G$50/2</f>
        <v>0.5525086680832789</v>
      </c>
      <c r="Z19" s="27">
        <f>$Z$9+$G$22</f>
        <v>1.6566002488825342</v>
      </c>
      <c r="AA19" s="27" t="s">
        <v>24</v>
      </c>
      <c r="AB19" s="58"/>
    </row>
    <row r="20" spans="2:28" ht="12.75">
      <c r="B20" s="40" t="s">
        <v>162</v>
      </c>
      <c r="C20" s="40" t="s">
        <v>33</v>
      </c>
      <c r="D20" s="40" t="s">
        <v>163</v>
      </c>
      <c r="E20" s="40"/>
      <c r="F20" s="40" t="s">
        <v>33</v>
      </c>
      <c r="G20" s="13">
        <f>IF(ISBLANK(I20),IF(ISBLANK(K20),IF(ISBLANK(M20),IF(ISBLANK(O20),"NO VALUE!",O20*0.0254),M20/1000),K20/100),I20)</f>
        <v>0.000127</v>
      </c>
      <c r="H20" s="56" t="s">
        <v>35</v>
      </c>
      <c r="I20" s="50"/>
      <c r="J20" s="40" t="s">
        <v>35</v>
      </c>
      <c r="K20" s="50"/>
      <c r="L20" s="40" t="s">
        <v>43</v>
      </c>
      <c r="M20" s="50"/>
      <c r="N20" s="40" t="s">
        <v>44</v>
      </c>
      <c r="O20" s="57">
        <v>0.005</v>
      </c>
      <c r="P20" s="40" t="s">
        <v>45</v>
      </c>
      <c r="R20" s="48"/>
      <c r="S20" s="27" t="s">
        <v>28</v>
      </c>
      <c r="T20" s="27" t="s">
        <v>23</v>
      </c>
      <c r="U20" s="27">
        <f>3*$G$42/32-$G$50/2</f>
        <v>1.5696371694166267</v>
      </c>
      <c r="V20" s="27">
        <f>$Z$9</f>
        <v>1.2966002488825341</v>
      </c>
      <c r="W20" s="27" t="s">
        <v>22</v>
      </c>
      <c r="X20" s="27" t="s">
        <v>23</v>
      </c>
      <c r="Y20" s="27">
        <f>3*$G$42/32+$G$50/2</f>
        <v>1.6135815868332317</v>
      </c>
      <c r="Z20" s="27">
        <f>$Z$9+$G$22</f>
        <v>1.6566002488825342</v>
      </c>
      <c r="AA20" s="27" t="s">
        <v>24</v>
      </c>
      <c r="AB20" s="58"/>
    </row>
    <row r="21" spans="2:28" ht="12.75">
      <c r="B21" s="40"/>
      <c r="C21" s="40"/>
      <c r="D21" s="40"/>
      <c r="E21" s="40"/>
      <c r="F21" s="40"/>
      <c r="G21" s="20"/>
      <c r="H21" s="56"/>
      <c r="I21" s="40"/>
      <c r="J21" s="40"/>
      <c r="K21" s="40"/>
      <c r="L21" s="40"/>
      <c r="M21" s="40"/>
      <c r="N21" s="40"/>
      <c r="O21" s="45"/>
      <c r="P21" s="40"/>
      <c r="R21" s="48"/>
      <c r="S21" s="27" t="s">
        <v>28</v>
      </c>
      <c r="T21" s="27" t="s">
        <v>23</v>
      </c>
      <c r="U21" s="27">
        <f>5*$G$42/32-$G$50/2</f>
        <v>2.6307100881665795</v>
      </c>
      <c r="V21" s="27">
        <f>$Z$9</f>
        <v>1.2966002488825341</v>
      </c>
      <c r="W21" s="27" t="s">
        <v>22</v>
      </c>
      <c r="X21" s="27" t="s">
        <v>23</v>
      </c>
      <c r="Y21" s="27">
        <f>5*$G$42/32+$G$50/2</f>
        <v>2.6746545055831845</v>
      </c>
      <c r="Z21" s="27">
        <f>$Z$9+$G$22</f>
        <v>1.6566002488825342</v>
      </c>
      <c r="AA21" s="27" t="s">
        <v>24</v>
      </c>
      <c r="AB21" s="58"/>
    </row>
    <row r="22" spans="2:28" ht="12.75">
      <c r="B22" s="40" t="s">
        <v>220</v>
      </c>
      <c r="C22" s="40" t="s">
        <v>33</v>
      </c>
      <c r="D22" s="40" t="s">
        <v>221</v>
      </c>
      <c r="E22" s="40"/>
      <c r="F22" s="40" t="s">
        <v>33</v>
      </c>
      <c r="G22" s="20">
        <f>IF(ISBLANK(I22),IF(ISBLANK(K22),IF(ISBLANK(M22),IF(ISBLANK(O22),"NO VALUE!",O22),M22*25.4),K22*2.54),I22*G18/0.0254)</f>
        <v>0.36</v>
      </c>
      <c r="H22" s="56" t="s">
        <v>45</v>
      </c>
      <c r="I22" s="28">
        <v>5</v>
      </c>
      <c r="J22" s="40" t="s">
        <v>223</v>
      </c>
      <c r="K22" s="28"/>
      <c r="L22" s="40" t="s">
        <v>43</v>
      </c>
      <c r="M22" s="28"/>
      <c r="N22" s="40" t="s">
        <v>44</v>
      </c>
      <c r="O22" s="32"/>
      <c r="P22" s="40" t="s">
        <v>45</v>
      </c>
      <c r="R22" s="48"/>
      <c r="S22" s="27" t="s">
        <v>28</v>
      </c>
      <c r="T22" s="27" t="s">
        <v>23</v>
      </c>
      <c r="U22" s="27">
        <f>7*$G$42/32-$G$50/2</f>
        <v>3.6917830069165323</v>
      </c>
      <c r="V22" s="27">
        <f>$Z$9</f>
        <v>1.2966002488825341</v>
      </c>
      <c r="W22" s="27" t="s">
        <v>22</v>
      </c>
      <c r="X22" s="27" t="s">
        <v>23</v>
      </c>
      <c r="Y22" s="27">
        <f>7*$G$42/32+$G$50/2</f>
        <v>3.7357274243331373</v>
      </c>
      <c r="Z22" s="27">
        <f>$Z$9+$G$22</f>
        <v>1.6566002488825342</v>
      </c>
      <c r="AA22" s="27" t="s">
        <v>24</v>
      </c>
      <c r="AB22" s="58"/>
    </row>
    <row r="23" spans="2:28" ht="12.75">
      <c r="B23" s="40"/>
      <c r="C23" s="40"/>
      <c r="D23" s="40"/>
      <c r="E23" s="40"/>
      <c r="F23" s="40"/>
      <c r="G23" s="20"/>
      <c r="H23" s="56"/>
      <c r="I23" s="40"/>
      <c r="J23" s="40"/>
      <c r="K23" s="40"/>
      <c r="L23" s="40"/>
      <c r="M23" s="40"/>
      <c r="N23" s="40"/>
      <c r="O23" s="45"/>
      <c r="P23" s="40"/>
      <c r="R23" s="48"/>
      <c r="S23" s="27" t="s">
        <v>28</v>
      </c>
      <c r="T23" s="27" t="s">
        <v>23</v>
      </c>
      <c r="U23" s="27">
        <f>9*$G$42/32-$G$50/2</f>
        <v>4.752855925666486</v>
      </c>
      <c r="V23" s="27">
        <f>$Z$9</f>
        <v>1.2966002488825341</v>
      </c>
      <c r="W23" s="27" t="s">
        <v>22</v>
      </c>
      <c r="X23" s="27" t="s">
        <v>23</v>
      </c>
      <c r="Y23" s="27">
        <f>9*$G$42/32+$G$50/2</f>
        <v>4.79680034308309</v>
      </c>
      <c r="Z23" s="27">
        <f>$Z$9+$G$22</f>
        <v>1.6566002488825342</v>
      </c>
      <c r="AA23" s="27" t="s">
        <v>24</v>
      </c>
      <c r="AB23" s="58"/>
    </row>
    <row r="24" spans="2:28" ht="12.75">
      <c r="B24" s="40" t="s">
        <v>69</v>
      </c>
      <c r="C24" s="40" t="s">
        <v>33</v>
      </c>
      <c r="D24" s="40" t="s">
        <v>70</v>
      </c>
      <c r="E24" s="40"/>
      <c r="F24" s="40" t="s">
        <v>33</v>
      </c>
      <c r="G24" s="29">
        <v>0.05</v>
      </c>
      <c r="H24" s="56" t="s">
        <v>58</v>
      </c>
      <c r="I24" s="40" t="s">
        <v>72</v>
      </c>
      <c r="J24" s="40"/>
      <c r="K24" s="40"/>
      <c r="L24" s="40"/>
      <c r="M24" s="40"/>
      <c r="N24" s="40"/>
      <c r="O24" s="45"/>
      <c r="P24" s="40"/>
      <c r="R24" s="48"/>
      <c r="S24" s="27" t="s">
        <v>28</v>
      </c>
      <c r="T24" s="27" t="s">
        <v>23</v>
      </c>
      <c r="U24" s="27">
        <f>11*$G$42/32-$G$50/2</f>
        <v>5.813928844416438</v>
      </c>
      <c r="V24" s="27">
        <f>$Z$9</f>
        <v>1.2966002488825341</v>
      </c>
      <c r="W24" s="27" t="s">
        <v>22</v>
      </c>
      <c r="X24" s="27" t="s">
        <v>23</v>
      </c>
      <c r="Y24" s="27">
        <f>11*$G$42/32+$G$50/2</f>
        <v>5.857873261833042</v>
      </c>
      <c r="Z24" s="27">
        <f>$Z$9+$G$22</f>
        <v>1.6566002488825342</v>
      </c>
      <c r="AA24" s="27" t="s">
        <v>24</v>
      </c>
      <c r="AB24" s="58"/>
    </row>
    <row r="25" spans="2:28" ht="12.75">
      <c r="B25" s="40"/>
      <c r="C25" s="40"/>
      <c r="D25" s="40"/>
      <c r="E25" s="40"/>
      <c r="F25" s="40"/>
      <c r="G25" s="41"/>
      <c r="H25" s="56"/>
      <c r="I25" s="40"/>
      <c r="J25" s="40"/>
      <c r="K25" s="40"/>
      <c r="L25" s="40"/>
      <c r="M25" s="40"/>
      <c r="N25" s="40"/>
      <c r="O25" s="45"/>
      <c r="P25" s="40"/>
      <c r="R25" s="48"/>
      <c r="S25" s="27" t="s">
        <v>28</v>
      </c>
      <c r="T25" s="27" t="s">
        <v>23</v>
      </c>
      <c r="U25" s="27">
        <f>13*$G$42/32-$G$50/2</f>
        <v>6.8750017631663916</v>
      </c>
      <c r="V25" s="27">
        <f>$Z$9</f>
        <v>1.2966002488825341</v>
      </c>
      <c r="W25" s="27" t="s">
        <v>22</v>
      </c>
      <c r="X25" s="27" t="s">
        <v>23</v>
      </c>
      <c r="Y25" s="27">
        <f>13*$G$42/32+$G$50/2</f>
        <v>6.918946180582996</v>
      </c>
      <c r="Z25" s="27">
        <f>$Z$9+$G$22</f>
        <v>1.6566002488825342</v>
      </c>
      <c r="AA25" s="27" t="s">
        <v>24</v>
      </c>
      <c r="AB25" s="58"/>
    </row>
    <row r="26" spans="2:28" ht="12.75">
      <c r="B26" s="40" t="s">
        <v>130</v>
      </c>
      <c r="C26" s="40" t="s">
        <v>33</v>
      </c>
      <c r="D26" s="40" t="s">
        <v>131</v>
      </c>
      <c r="E26" s="40"/>
      <c r="F26" s="40" t="s">
        <v>33</v>
      </c>
      <c r="G26" s="29">
        <v>0.2</v>
      </c>
      <c r="H26" s="56" t="s">
        <v>58</v>
      </c>
      <c r="I26" s="40" t="s">
        <v>133</v>
      </c>
      <c r="J26" s="40"/>
      <c r="K26" s="40"/>
      <c r="L26" s="40"/>
      <c r="M26" s="40"/>
      <c r="N26" s="40"/>
      <c r="O26" s="45"/>
      <c r="P26" s="40"/>
      <c r="R26" s="48"/>
      <c r="S26" s="27" t="s">
        <v>28</v>
      </c>
      <c r="T26" s="27" t="s">
        <v>23</v>
      </c>
      <c r="U26" s="27">
        <f>15*$G$42/32-$G$50/2</f>
        <v>7.9360746819163435</v>
      </c>
      <c r="V26" s="27">
        <f>$Z$9</f>
        <v>1.2966002488825341</v>
      </c>
      <c r="W26" s="27" t="s">
        <v>22</v>
      </c>
      <c r="X26" s="27" t="s">
        <v>23</v>
      </c>
      <c r="Y26" s="27">
        <f>15*$G$42/32+$G$50/2</f>
        <v>7.980019099332948</v>
      </c>
      <c r="Z26" s="27">
        <f>$Z$9+$G$22</f>
        <v>1.6566002488825342</v>
      </c>
      <c r="AA26" s="27" t="s">
        <v>24</v>
      </c>
      <c r="AB26" s="58"/>
    </row>
    <row r="27" spans="2:28" ht="12.75">
      <c r="B27" s="40" t="s">
        <v>155</v>
      </c>
      <c r="C27" s="40" t="s">
        <v>33</v>
      </c>
      <c r="D27" s="40" t="s">
        <v>156</v>
      </c>
      <c r="E27" s="40"/>
      <c r="F27" s="40" t="s">
        <v>33</v>
      </c>
      <c r="G27" s="29">
        <v>0.089</v>
      </c>
      <c r="H27" s="56" t="s">
        <v>58</v>
      </c>
      <c r="I27" s="40" t="s">
        <v>157</v>
      </c>
      <c r="J27" s="40"/>
      <c r="K27" s="40"/>
      <c r="L27" s="40"/>
      <c r="M27" s="40"/>
      <c r="N27" s="40"/>
      <c r="O27" s="45"/>
      <c r="P27" s="40"/>
      <c r="R27" s="48"/>
      <c r="S27" s="27"/>
      <c r="T27" s="27"/>
      <c r="U27" s="27"/>
      <c r="V27" s="27"/>
      <c r="W27" s="27"/>
      <c r="X27" s="27"/>
      <c r="Y27" s="27"/>
      <c r="Z27" s="27"/>
      <c r="AA27" s="27"/>
      <c r="AB27" s="58"/>
    </row>
    <row r="28" spans="2:28" ht="12.75">
      <c r="B28" s="40" t="s">
        <v>185</v>
      </c>
      <c r="C28" s="40" t="s">
        <v>33</v>
      </c>
      <c r="D28" s="40" t="s">
        <v>186</v>
      </c>
      <c r="E28" s="40"/>
      <c r="F28" s="40" t="s">
        <v>33</v>
      </c>
      <c r="G28" s="29">
        <f>G26/2</f>
        <v>0.1</v>
      </c>
      <c r="H28" s="56" t="s">
        <v>58</v>
      </c>
      <c r="I28" s="40"/>
      <c r="J28" s="40"/>
      <c r="K28" s="40"/>
      <c r="L28" s="40"/>
      <c r="M28" s="40"/>
      <c r="N28" s="40"/>
      <c r="O28" s="45"/>
      <c r="P28" s="40"/>
      <c r="R28" s="48" t="s">
        <v>188</v>
      </c>
      <c r="S28" s="27" t="s">
        <v>28</v>
      </c>
      <c r="T28" s="27" t="s">
        <v>23</v>
      </c>
      <c r="U28" s="27">
        <f>Y11</f>
        <v>-7.9360746819163435</v>
      </c>
      <c r="V28" s="27">
        <f>Z11</f>
        <v>1.6566002488825342</v>
      </c>
      <c r="W28" s="27" t="s">
        <v>22</v>
      </c>
      <c r="X28" s="27" t="s">
        <v>23</v>
      </c>
      <c r="Y28" s="27">
        <f>U12</f>
        <v>-6.918946180582996</v>
      </c>
      <c r="Z28" s="27">
        <f>V28+$G$50</f>
        <v>1.7005446662991393</v>
      </c>
      <c r="AA28" s="27" t="s">
        <v>24</v>
      </c>
      <c r="AB28" s="58"/>
    </row>
    <row r="29" spans="2:28" ht="12.75">
      <c r="B29" s="40"/>
      <c r="C29" s="40"/>
      <c r="D29" s="40"/>
      <c r="E29" s="40"/>
      <c r="F29" s="40"/>
      <c r="G29" s="20"/>
      <c r="H29" s="56"/>
      <c r="I29" s="40"/>
      <c r="J29" s="40"/>
      <c r="K29" s="40"/>
      <c r="L29" s="40"/>
      <c r="M29" s="40"/>
      <c r="N29" s="40"/>
      <c r="O29" s="45"/>
      <c r="P29" s="40"/>
      <c r="R29" s="48"/>
      <c r="S29" s="27" t="s">
        <v>28</v>
      </c>
      <c r="T29" s="27" t="s">
        <v>23</v>
      </c>
      <c r="U29" s="27">
        <f>Y13</f>
        <v>-5.813928844416438</v>
      </c>
      <c r="V29" s="27">
        <f>Z13</f>
        <v>1.6566002488825342</v>
      </c>
      <c r="W29" s="27" t="s">
        <v>22</v>
      </c>
      <c r="X29" s="27" t="s">
        <v>23</v>
      </c>
      <c r="Y29" s="27">
        <f>U14</f>
        <v>-4.79680034308309</v>
      </c>
      <c r="Z29" s="27">
        <f>V29+$G$50</f>
        <v>1.7005446662991393</v>
      </c>
      <c r="AA29" s="27" t="s">
        <v>24</v>
      </c>
      <c r="AB29" s="58"/>
    </row>
    <row r="30" spans="2:28" ht="12.75">
      <c r="B30" s="40" t="s">
        <v>235</v>
      </c>
      <c r="C30" s="40" t="s">
        <v>33</v>
      </c>
      <c r="D30" s="40" t="s">
        <v>236</v>
      </c>
      <c r="E30" s="40"/>
      <c r="F30" s="40" t="s">
        <v>33</v>
      </c>
      <c r="G30" s="29">
        <f>G28+G26</f>
        <v>0.30000000000000004</v>
      </c>
      <c r="H30" s="56" t="s">
        <v>58</v>
      </c>
      <c r="I30" s="40" t="s">
        <v>237</v>
      </c>
      <c r="J30" s="40"/>
      <c r="K30" s="40"/>
      <c r="L30" s="40"/>
      <c r="M30" s="40"/>
      <c r="N30" s="40"/>
      <c r="O30" s="45"/>
      <c r="P30" s="40"/>
      <c r="R30" s="48"/>
      <c r="S30" s="27" t="s">
        <v>28</v>
      </c>
      <c r="T30" s="27" t="s">
        <v>23</v>
      </c>
      <c r="U30" s="27">
        <f>Y15</f>
        <v>-3.6917830069165323</v>
      </c>
      <c r="V30" s="27">
        <f>Z15</f>
        <v>1.6566002488825342</v>
      </c>
      <c r="W30" s="27" t="s">
        <v>22</v>
      </c>
      <c r="X30" s="27" t="s">
        <v>23</v>
      </c>
      <c r="Y30" s="27">
        <f>U16</f>
        <v>-2.6746545055831845</v>
      </c>
      <c r="Z30" s="27">
        <f>V30+$G$50</f>
        <v>1.7005446662991393</v>
      </c>
      <c r="AA30" s="27" t="s">
        <v>24</v>
      </c>
      <c r="AB30" s="58"/>
    </row>
    <row r="31" spans="2:28" ht="12.75">
      <c r="B31" s="40" t="s">
        <v>55</v>
      </c>
      <c r="C31" s="40" t="s">
        <v>33</v>
      </c>
      <c r="D31" s="40" t="s">
        <v>56</v>
      </c>
      <c r="E31" s="40"/>
      <c r="F31" s="40" t="s">
        <v>33</v>
      </c>
      <c r="G31" s="29">
        <f>G28+G26</f>
        <v>0.30000000000000004</v>
      </c>
      <c r="H31" s="56" t="s">
        <v>58</v>
      </c>
      <c r="I31" s="40" t="s">
        <v>59</v>
      </c>
      <c r="J31" s="40"/>
      <c r="K31" s="40"/>
      <c r="L31" s="40"/>
      <c r="M31" s="40"/>
      <c r="N31" s="40"/>
      <c r="O31" s="45"/>
      <c r="P31" s="40"/>
      <c r="R31" s="48"/>
      <c r="S31" s="27" t="s">
        <v>28</v>
      </c>
      <c r="T31" s="27" t="s">
        <v>23</v>
      </c>
      <c r="U31" s="27">
        <f>Y17</f>
        <v>-1.5696371694166267</v>
      </c>
      <c r="V31" s="27">
        <f>Z17</f>
        <v>1.6566002488825342</v>
      </c>
      <c r="W31" s="27" t="s">
        <v>22</v>
      </c>
      <c r="X31" s="27" t="s">
        <v>23</v>
      </c>
      <c r="Y31" s="27">
        <f>U18</f>
        <v>-0.5525086680832789</v>
      </c>
      <c r="Z31" s="27">
        <f>V31+$G$50</f>
        <v>1.7005446662991393</v>
      </c>
      <c r="AA31" s="27" t="s">
        <v>24</v>
      </c>
      <c r="AB31" s="58"/>
    </row>
    <row r="32" spans="2:28" ht="12.75">
      <c r="B32" s="40" t="s">
        <v>86</v>
      </c>
      <c r="C32" s="40" t="s">
        <v>33</v>
      </c>
      <c r="D32" s="40" t="s">
        <v>87</v>
      </c>
      <c r="E32" s="40"/>
      <c r="F32" s="40" t="s">
        <v>33</v>
      </c>
      <c r="G32" s="29">
        <v>0.01</v>
      </c>
      <c r="H32" s="56" t="s">
        <v>58</v>
      </c>
      <c r="I32" s="40" t="s">
        <v>88</v>
      </c>
      <c r="J32" s="40"/>
      <c r="K32" s="40"/>
      <c r="L32" s="40"/>
      <c r="M32" s="40"/>
      <c r="N32" s="40"/>
      <c r="O32" s="45"/>
      <c r="P32" s="40"/>
      <c r="R32" s="48"/>
      <c r="S32" s="27" t="s">
        <v>28</v>
      </c>
      <c r="T32" s="27" t="s">
        <v>23</v>
      </c>
      <c r="U32" s="27">
        <f>Y19</f>
        <v>0.5525086680832789</v>
      </c>
      <c r="V32" s="27">
        <f>Z15</f>
        <v>1.6566002488825342</v>
      </c>
      <c r="W32" s="27" t="s">
        <v>22</v>
      </c>
      <c r="X32" s="27" t="s">
        <v>23</v>
      </c>
      <c r="Y32" s="27">
        <f>U20</f>
        <v>1.5696371694166267</v>
      </c>
      <c r="Z32" s="27">
        <f>V32+$G$50</f>
        <v>1.7005446662991393</v>
      </c>
      <c r="AA32" s="27" t="s">
        <v>24</v>
      </c>
      <c r="AB32" s="58"/>
    </row>
    <row r="33" spans="7:28" ht="12.75">
      <c r="G33" s="31"/>
      <c r="R33" s="48"/>
      <c r="S33" s="27" t="s">
        <v>28</v>
      </c>
      <c r="T33" s="27" t="s">
        <v>23</v>
      </c>
      <c r="U33" s="27">
        <f>Y21</f>
        <v>2.6746545055831845</v>
      </c>
      <c r="V33" s="27">
        <f>Z17</f>
        <v>1.6566002488825342</v>
      </c>
      <c r="W33" s="27" t="s">
        <v>22</v>
      </c>
      <c r="X33" s="27" t="s">
        <v>23</v>
      </c>
      <c r="Y33" s="27">
        <f>U22</f>
        <v>3.6917830069165323</v>
      </c>
      <c r="Z33" s="27">
        <f>V33+$G$50</f>
        <v>1.7005446662991393</v>
      </c>
      <c r="AA33" s="27" t="s">
        <v>24</v>
      </c>
      <c r="AB33" s="58"/>
    </row>
    <row r="34" spans="1:28" ht="12.75">
      <c r="A34" s="8" t="s">
        <v>152</v>
      </c>
      <c r="B34" s="8"/>
      <c r="C34" s="8"/>
      <c r="D34" s="8"/>
      <c r="E34" s="8"/>
      <c r="F34" s="8"/>
      <c r="G34" s="10"/>
      <c r="H34" s="16"/>
      <c r="I34" s="8"/>
      <c r="J34" s="8"/>
      <c r="K34" s="8"/>
      <c r="L34" s="8"/>
      <c r="M34" s="8"/>
      <c r="N34" s="8"/>
      <c r="O34" s="8"/>
      <c r="P34" s="8"/>
      <c r="R34" s="48"/>
      <c r="S34" s="27" t="s">
        <v>28</v>
      </c>
      <c r="T34" s="27" t="s">
        <v>23</v>
      </c>
      <c r="U34" s="27">
        <f>Y23</f>
        <v>4.79680034308309</v>
      </c>
      <c r="V34" s="27">
        <f>Z19</f>
        <v>1.6566002488825342</v>
      </c>
      <c r="W34" s="27" t="s">
        <v>22</v>
      </c>
      <c r="X34" s="27" t="s">
        <v>23</v>
      </c>
      <c r="Y34" s="27">
        <f>U24</f>
        <v>5.813928844416438</v>
      </c>
      <c r="Z34" s="27">
        <f>V34+$G$50</f>
        <v>1.7005446662991393</v>
      </c>
      <c r="AA34" s="27" t="s">
        <v>24</v>
      </c>
      <c r="AB34" s="58"/>
    </row>
    <row r="35" spans="7:28" ht="12.75">
      <c r="G35" s="31"/>
      <c r="R35" s="48"/>
      <c r="S35" s="27" t="s">
        <v>28</v>
      </c>
      <c r="T35" s="27" t="s">
        <v>23</v>
      </c>
      <c r="U35" s="27">
        <f>Y25</f>
        <v>6.918946180582996</v>
      </c>
      <c r="V35" s="27">
        <f>Z21</f>
        <v>1.6566002488825342</v>
      </c>
      <c r="W35" s="27" t="s">
        <v>22</v>
      </c>
      <c r="X35" s="27" t="s">
        <v>23</v>
      </c>
      <c r="Y35" s="27">
        <f>U26</f>
        <v>7.9360746819163435</v>
      </c>
      <c r="Z35" s="27">
        <f>V35+$G$50</f>
        <v>1.7005446662991393</v>
      </c>
      <c r="AA35" s="27" t="s">
        <v>24</v>
      </c>
      <c r="AB35" s="58"/>
    </row>
    <row r="36" spans="2:28" ht="12.75">
      <c r="B36" s="1" t="s">
        <v>207</v>
      </c>
      <c r="C36" s="1" t="s">
        <v>33</v>
      </c>
      <c r="D36" s="1" t="s">
        <v>208</v>
      </c>
      <c r="F36" s="1" t="s">
        <v>33</v>
      </c>
      <c r="G36" s="51">
        <f>M36/0.0254</f>
        <v>2.079797828575393</v>
      </c>
      <c r="H36" s="21" t="s">
        <v>45</v>
      </c>
      <c r="I36" s="52">
        <f>M36*1000</f>
        <v>52.826864845814974</v>
      </c>
      <c r="J36" s="1" t="s">
        <v>44</v>
      </c>
      <c r="K36" s="53">
        <f>M36*100</f>
        <v>5.282686484581498</v>
      </c>
      <c r="L36" s="1" t="s">
        <v>43</v>
      </c>
      <c r="M36" s="49">
        <f>G8/G13</f>
        <v>0.052826864845814975</v>
      </c>
      <c r="N36" s="1" t="s">
        <v>35</v>
      </c>
      <c r="R36" s="48"/>
      <c r="S36" s="27"/>
      <c r="T36" s="27"/>
      <c r="U36" s="27"/>
      <c r="V36" s="27"/>
      <c r="W36" s="27"/>
      <c r="X36" s="27"/>
      <c r="Y36" s="27"/>
      <c r="Z36" s="27"/>
      <c r="AA36" s="27"/>
      <c r="AB36" s="58"/>
    </row>
    <row r="37" spans="13:28" ht="12.75">
      <c r="M37" s="51"/>
      <c r="R37" s="48" t="s">
        <v>229</v>
      </c>
      <c r="S37" s="27" t="s">
        <v>28</v>
      </c>
      <c r="T37" s="27" t="s">
        <v>23</v>
      </c>
      <c r="U37" s="27">
        <f>-7*$G$42/16-$G$51/2</f>
        <v>-7.513834314912814</v>
      </c>
      <c r="V37" s="27">
        <f>V28</f>
        <v>1.6566002488825342</v>
      </c>
      <c r="W37" s="27" t="s">
        <v>22</v>
      </c>
      <c r="X37" s="27" t="s">
        <v>23</v>
      </c>
      <c r="Y37" s="27">
        <f>-7*$G$42/16+$G$51/2</f>
        <v>-7.341186547586525</v>
      </c>
      <c r="Z37" s="27">
        <f>Z28+$G$22</f>
        <v>2.060544666299139</v>
      </c>
      <c r="AA37" s="27" t="s">
        <v>24</v>
      </c>
      <c r="AB37" s="58"/>
    </row>
    <row r="38" spans="1:28" ht="12.75">
      <c r="A38" s="8" t="s">
        <v>48</v>
      </c>
      <c r="B38" s="8"/>
      <c r="C38" s="8"/>
      <c r="D38" s="8"/>
      <c r="E38" s="8"/>
      <c r="F38" s="8"/>
      <c r="G38" s="10"/>
      <c r="H38" s="16"/>
      <c r="I38" s="8"/>
      <c r="J38" s="8"/>
      <c r="K38" s="8"/>
      <c r="L38" s="8"/>
      <c r="M38" s="15"/>
      <c r="N38" s="8"/>
      <c r="O38" s="8"/>
      <c r="P38" s="8"/>
      <c r="R38" s="48"/>
      <c r="S38" s="27" t="s">
        <v>28</v>
      </c>
      <c r="T38" s="27" t="s">
        <v>23</v>
      </c>
      <c r="U38" s="27">
        <f>-5*$G$42/16-$G$51/2</f>
        <v>-5.391688477412909</v>
      </c>
      <c r="V38" s="27">
        <f>V29</f>
        <v>1.6566002488825342</v>
      </c>
      <c r="W38" s="27" t="s">
        <v>22</v>
      </c>
      <c r="X38" s="27" t="s">
        <v>23</v>
      </c>
      <c r="Y38" s="27">
        <f>-5*$G$42/16+$G$51/2</f>
        <v>-5.219040710086619</v>
      </c>
      <c r="Z38" s="27">
        <f>Z29+$G$22</f>
        <v>2.060544666299139</v>
      </c>
      <c r="AA38" s="27" t="s">
        <v>24</v>
      </c>
      <c r="AB38" s="58"/>
    </row>
    <row r="39" spans="7:28" ht="12.75">
      <c r="G39" s="31"/>
      <c r="M39" s="51"/>
      <c r="R39" s="48"/>
      <c r="S39" s="27" t="s">
        <v>28</v>
      </c>
      <c r="T39" s="27" t="s">
        <v>23</v>
      </c>
      <c r="U39" s="27">
        <f>-3*$G$42/16-$G$51/2</f>
        <v>-3.269542639913003</v>
      </c>
      <c r="V39" s="27">
        <f>V30</f>
        <v>1.6566002488825342</v>
      </c>
      <c r="W39" s="27" t="s">
        <v>22</v>
      </c>
      <c r="X39" s="27" t="s">
        <v>23</v>
      </c>
      <c r="Y39" s="27">
        <f>-3*$G$42/16+$G$51/2</f>
        <v>-3.096894872586714</v>
      </c>
      <c r="Z39" s="27">
        <f>Z30+$G$22</f>
        <v>2.060544666299139</v>
      </c>
      <c r="AA39" s="27" t="s">
        <v>24</v>
      </c>
      <c r="AB39" s="58"/>
    </row>
    <row r="40" spans="2:28" ht="12.75">
      <c r="B40" s="12" t="s">
        <v>112</v>
      </c>
      <c r="C40" s="12" t="s">
        <v>33</v>
      </c>
      <c r="D40" s="12" t="s">
        <v>113</v>
      </c>
      <c r="E40" s="12"/>
      <c r="F40" s="12" t="s">
        <v>33</v>
      </c>
      <c r="G40" s="26">
        <f>M40/0.0254</f>
        <v>5.404000000000001</v>
      </c>
      <c r="H40" s="23" t="s">
        <v>45</v>
      </c>
      <c r="I40" s="53">
        <f>M40*1000</f>
        <v>137.26160000000002</v>
      </c>
      <c r="J40" s="1" t="s">
        <v>44</v>
      </c>
      <c r="K40" s="51">
        <f>M40*100</f>
        <v>13.726160000000002</v>
      </c>
      <c r="L40" s="1" t="s">
        <v>43</v>
      </c>
      <c r="M40" s="42">
        <f>G16+2*G17+2*G18</f>
        <v>0.1372616</v>
      </c>
      <c r="N40" s="1" t="s">
        <v>35</v>
      </c>
      <c r="R40" s="48"/>
      <c r="S40" s="27" t="s">
        <v>28</v>
      </c>
      <c r="T40" s="27" t="s">
        <v>23</v>
      </c>
      <c r="U40" s="27">
        <f>-1*$G$42/16-$G$51/2</f>
        <v>-1.1473968024130974</v>
      </c>
      <c r="V40" s="27">
        <f>V31</f>
        <v>1.6566002488825342</v>
      </c>
      <c r="W40" s="27" t="s">
        <v>22</v>
      </c>
      <c r="X40" s="27" t="s">
        <v>23</v>
      </c>
      <c r="Y40" s="27">
        <f>-1*$G$42/16+$G$51/2</f>
        <v>-0.9747490350868082</v>
      </c>
      <c r="Z40" s="27">
        <f>Z31+$G$22</f>
        <v>2.060544666299139</v>
      </c>
      <c r="AA40" s="27" t="s">
        <v>24</v>
      </c>
      <c r="AB40" s="58"/>
    </row>
    <row r="41" spans="2:28" ht="12.75">
      <c r="B41" s="12" t="s">
        <v>140</v>
      </c>
      <c r="C41" s="12" t="s">
        <v>33</v>
      </c>
      <c r="D41" s="12" t="s">
        <v>141</v>
      </c>
      <c r="E41" s="12"/>
      <c r="F41" s="12" t="s">
        <v>33</v>
      </c>
      <c r="G41" s="26">
        <f>M41/0.0254</f>
        <v>0.6366002488825341</v>
      </c>
      <c r="H41" s="23" t="s">
        <v>45</v>
      </c>
      <c r="I41" s="53">
        <f>M41*1000</f>
        <v>16.169646321616366</v>
      </c>
      <c r="J41" s="1" t="s">
        <v>44</v>
      </c>
      <c r="K41" s="51">
        <f>M41*100</f>
        <v>1.6169646321616364</v>
      </c>
      <c r="L41" s="1" t="s">
        <v>43</v>
      </c>
      <c r="M41" s="42">
        <f>B129</f>
        <v>0.016169646321616365</v>
      </c>
      <c r="N41" s="1" t="s">
        <v>35</v>
      </c>
      <c r="R41" s="48"/>
      <c r="S41" s="27" t="s">
        <v>28</v>
      </c>
      <c r="T41" s="27" t="s">
        <v>23</v>
      </c>
      <c r="U41" s="27">
        <f>1*$G$42/16-$G$51/2</f>
        <v>0.9747490350868082</v>
      </c>
      <c r="V41" s="27">
        <f>V32</f>
        <v>1.6566002488825342</v>
      </c>
      <c r="W41" s="27" t="s">
        <v>22</v>
      </c>
      <c r="X41" s="27" t="s">
        <v>23</v>
      </c>
      <c r="Y41" s="27">
        <f>1*$G$42/16+$G$51/2</f>
        <v>1.1473968024130974</v>
      </c>
      <c r="Z41" s="27">
        <f>Z32+$G$22</f>
        <v>2.060544666299139</v>
      </c>
      <c r="AA41" s="27" t="s">
        <v>24</v>
      </c>
      <c r="AB41" s="58"/>
    </row>
    <row r="42" spans="2:28" ht="12.75">
      <c r="B42" s="12" t="s">
        <v>166</v>
      </c>
      <c r="C42" s="12" t="s">
        <v>33</v>
      </c>
      <c r="D42" s="12" t="s">
        <v>167</v>
      </c>
      <c r="E42" s="12"/>
      <c r="F42" s="12" t="s">
        <v>33</v>
      </c>
      <c r="G42" s="26">
        <f>M42/0.0254</f>
        <v>16.977166699999245</v>
      </c>
      <c r="H42" s="23" t="s">
        <v>45</v>
      </c>
      <c r="I42" s="53">
        <f>M42*1000</f>
        <v>431.22003417998076</v>
      </c>
      <c r="J42" s="1" t="s">
        <v>44</v>
      </c>
      <c r="K42" s="51">
        <f>M42*100</f>
        <v>43.12200341799808</v>
      </c>
      <c r="L42" s="1" t="s">
        <v>43</v>
      </c>
      <c r="M42" s="42">
        <f>PI()*$M$40</f>
        <v>0.4312200341799808</v>
      </c>
      <c r="N42" s="1" t="s">
        <v>35</v>
      </c>
      <c r="R42" s="48"/>
      <c r="S42" s="27" t="s">
        <v>28</v>
      </c>
      <c r="T42" s="27" t="s">
        <v>23</v>
      </c>
      <c r="U42" s="27">
        <f>3*$G$42/16-$G$51/2</f>
        <v>3.096894872586714</v>
      </c>
      <c r="V42" s="27">
        <f>V33</f>
        <v>1.6566002488825342</v>
      </c>
      <c r="W42" s="27" t="s">
        <v>22</v>
      </c>
      <c r="X42" s="27" t="s">
        <v>23</v>
      </c>
      <c r="Y42" s="27">
        <f>3*$G$42/16+$G$51/2</f>
        <v>3.269542639913003</v>
      </c>
      <c r="Z42" s="27">
        <f>Z33+$G$22</f>
        <v>2.060544666299139</v>
      </c>
      <c r="AA42" s="27" t="s">
        <v>24</v>
      </c>
      <c r="AB42" s="58"/>
    </row>
    <row r="43" spans="2:28" ht="12.75">
      <c r="B43" s="12" t="s">
        <v>195</v>
      </c>
      <c r="C43" s="12" t="s">
        <v>33</v>
      </c>
      <c r="D43" s="12" t="s">
        <v>196</v>
      </c>
      <c r="E43" s="12"/>
      <c r="F43" s="12" t="s">
        <v>33</v>
      </c>
      <c r="G43" s="12">
        <f>IF(I43&lt;1,1,IF(I43&lt;2,2,IF(I43&lt;4,4,IF(I43&lt;8,8,IF(I43&lt;16,16,"Error! Too many Lambda")))))</f>
        <v>16</v>
      </c>
      <c r="H43" s="23" t="s">
        <v>198</v>
      </c>
      <c r="I43" s="53">
        <f>M42/(M36/SQRT($G$12))</f>
        <v>12.10934262504057</v>
      </c>
      <c r="J43" s="1" t="s">
        <v>198</v>
      </c>
      <c r="K43" s="51"/>
      <c r="M43" s="42"/>
      <c r="R43" s="48"/>
      <c r="S43" s="27" t="s">
        <v>28</v>
      </c>
      <c r="T43" s="27" t="s">
        <v>23</v>
      </c>
      <c r="U43" s="27">
        <f>5*$G$42/16-$G$51/2</f>
        <v>5.219040710086619</v>
      </c>
      <c r="V43" s="27">
        <f>V34</f>
        <v>1.6566002488825342</v>
      </c>
      <c r="W43" s="27" t="s">
        <v>22</v>
      </c>
      <c r="X43" s="27" t="s">
        <v>23</v>
      </c>
      <c r="Y43" s="27">
        <f>5*$G$42/16+$G$51/2</f>
        <v>5.391688477412909</v>
      </c>
      <c r="Z43" s="27">
        <f>Z34+$G$22</f>
        <v>2.060544666299139</v>
      </c>
      <c r="AA43" s="27" t="s">
        <v>24</v>
      </c>
      <c r="AB43" s="58"/>
    </row>
    <row r="44" spans="2:28" ht="12.75">
      <c r="B44" s="12" t="s">
        <v>199</v>
      </c>
      <c r="C44" s="12" t="s">
        <v>33</v>
      </c>
      <c r="D44" s="12" t="s">
        <v>224</v>
      </c>
      <c r="E44" s="12"/>
      <c r="F44" s="12" t="s">
        <v>33</v>
      </c>
      <c r="G44" s="24">
        <f>IF(ISBLANK($G$14),G43*60*M36/M42,$G$14)</f>
        <v>117.60536670894949</v>
      </c>
      <c r="H44" s="23" t="s">
        <v>99</v>
      </c>
      <c r="I44" s="53"/>
      <c r="K44" s="51"/>
      <c r="M44" s="42"/>
      <c r="R44" s="48"/>
      <c r="S44" s="27" t="s">
        <v>28</v>
      </c>
      <c r="T44" s="27" t="s">
        <v>23</v>
      </c>
      <c r="U44" s="27">
        <f>7*$G$42/16-$G$51/2</f>
        <v>7.341186547586525</v>
      </c>
      <c r="V44" s="27">
        <f>V35</f>
        <v>1.6566002488825342</v>
      </c>
      <c r="W44" s="27" t="s">
        <v>22</v>
      </c>
      <c r="X44" s="27" t="s">
        <v>23</v>
      </c>
      <c r="Y44" s="27">
        <f>7*$G$42/16+$G$51/2</f>
        <v>7.513834314912814</v>
      </c>
      <c r="Z44" s="27">
        <f>Z35+$G$22</f>
        <v>2.060544666299139</v>
      </c>
      <c r="AA44" s="27" t="s">
        <v>24</v>
      </c>
      <c r="AB44" s="58"/>
    </row>
    <row r="45" spans="9:28" ht="12.75">
      <c r="I45" s="53"/>
      <c r="K45" s="51"/>
      <c r="M45" s="42"/>
      <c r="R45" s="48"/>
      <c r="S45" s="27"/>
      <c r="T45" s="27"/>
      <c r="U45" s="27"/>
      <c r="V45" s="27"/>
      <c r="W45" s="27"/>
      <c r="X45" s="27"/>
      <c r="Y45" s="27"/>
      <c r="Z45" s="27"/>
      <c r="AA45" s="27"/>
      <c r="AB45" s="58"/>
    </row>
    <row r="46" spans="1:28" ht="12.75">
      <c r="A46" s="8" t="s">
        <v>74</v>
      </c>
      <c r="B46" s="8"/>
      <c r="C46" s="8"/>
      <c r="D46" s="8"/>
      <c r="E46" s="8"/>
      <c r="F46" s="8"/>
      <c r="G46" s="8"/>
      <c r="H46" s="16"/>
      <c r="I46" s="17"/>
      <c r="J46" s="8"/>
      <c r="K46" s="15"/>
      <c r="L46" s="8"/>
      <c r="M46" s="22"/>
      <c r="N46" s="8"/>
      <c r="O46" s="8"/>
      <c r="P46" s="8"/>
      <c r="R46" s="48" t="s">
        <v>75</v>
      </c>
      <c r="S46" s="27" t="s">
        <v>28</v>
      </c>
      <c r="T46" s="27" t="s">
        <v>23</v>
      </c>
      <c r="U46" s="27">
        <f>Y37</f>
        <v>-7.341186547586525</v>
      </c>
      <c r="V46" s="27">
        <f>Z37</f>
        <v>2.060544666299139</v>
      </c>
      <c r="W46" s="27" t="s">
        <v>22</v>
      </c>
      <c r="X46" s="27" t="s">
        <v>23</v>
      </c>
      <c r="Y46" s="27">
        <f>U46+(0.5*$G$42/8-$G$59)/2</f>
        <v>-7.004312872690907</v>
      </c>
      <c r="Z46" s="27">
        <f>V46+$G$51</f>
        <v>2.2331924336254283</v>
      </c>
      <c r="AA46" s="27" t="s">
        <v>24</v>
      </c>
      <c r="AB46" s="58"/>
    </row>
    <row r="47" spans="9:28" ht="12.75">
      <c r="I47" s="53"/>
      <c r="K47" s="51"/>
      <c r="M47" s="42"/>
      <c r="R47" s="48"/>
      <c r="S47" s="27" t="s">
        <v>28</v>
      </c>
      <c r="T47" s="27" t="s">
        <v>23</v>
      </c>
      <c r="U47" s="27">
        <f>U38</f>
        <v>-5.391688477412909</v>
      </c>
      <c r="V47" s="27">
        <f>Z38</f>
        <v>2.060544666299139</v>
      </c>
      <c r="W47" s="27" t="s">
        <v>22</v>
      </c>
      <c r="X47" s="27" t="s">
        <v>23</v>
      </c>
      <c r="Y47" s="27">
        <f>U47-(0.5*$G$42/8-$G$59)/2</f>
        <v>-5.728562152308527</v>
      </c>
      <c r="Z47" s="27">
        <f>V47+$G$51</f>
        <v>2.2331924336254283</v>
      </c>
      <c r="AA47" s="27" t="s">
        <v>24</v>
      </c>
      <c r="AB47" s="58"/>
    </row>
    <row r="48" spans="2:28" ht="12.75">
      <c r="B48" s="12" t="s">
        <v>32</v>
      </c>
      <c r="C48" s="12" t="s">
        <v>33</v>
      </c>
      <c r="D48" s="12" t="s">
        <v>134</v>
      </c>
      <c r="E48" s="12"/>
      <c r="F48" s="12" t="s">
        <v>33</v>
      </c>
      <c r="G48" s="26">
        <f>G74/0.0254</f>
        <v>0.22180225398084272</v>
      </c>
      <c r="H48" s="23" t="s">
        <v>45</v>
      </c>
      <c r="I48" s="53">
        <f>G48*25.4</f>
        <v>5.633777251113405</v>
      </c>
      <c r="J48" s="1" t="s">
        <v>44</v>
      </c>
      <c r="K48" s="51">
        <f>G48*2.54</f>
        <v>0.5633777251113405</v>
      </c>
      <c r="L48" s="1" t="s">
        <v>43</v>
      </c>
      <c r="M48" s="42">
        <f>G48*0.0254</f>
        <v>0.005633777251113405</v>
      </c>
      <c r="N48" s="1" t="s">
        <v>35</v>
      </c>
      <c r="R48" s="48"/>
      <c r="S48" s="27" t="s">
        <v>28</v>
      </c>
      <c r="T48" s="27" t="s">
        <v>23</v>
      </c>
      <c r="U48" s="27">
        <f>Y39</f>
        <v>-3.096894872586714</v>
      </c>
      <c r="V48" s="27">
        <f>Z39</f>
        <v>2.060544666299139</v>
      </c>
      <c r="W48" s="27" t="s">
        <v>22</v>
      </c>
      <c r="X48" s="27" t="s">
        <v>23</v>
      </c>
      <c r="Y48" s="27">
        <f>U48+(0.5*$G$42/8-$G$59)/2</f>
        <v>-2.760021197691095</v>
      </c>
      <c r="Z48" s="27">
        <f>V48+$G$51</f>
        <v>2.2331924336254283</v>
      </c>
      <c r="AA48" s="27" t="s">
        <v>24</v>
      </c>
      <c r="AB48" s="58"/>
    </row>
    <row r="49" spans="2:28" ht="12.75">
      <c r="B49" s="12" t="s">
        <v>123</v>
      </c>
      <c r="C49" s="12" t="s">
        <v>33</v>
      </c>
      <c r="D49" s="12" t="s">
        <v>160</v>
      </c>
      <c r="E49" s="12"/>
      <c r="F49" s="12" t="s">
        <v>33</v>
      </c>
      <c r="G49" s="26">
        <f>G84/0.0254</f>
        <v>0.06451313245731712</v>
      </c>
      <c r="H49" s="23" t="s">
        <v>45</v>
      </c>
      <c r="I49" s="53">
        <f>G49*25.4</f>
        <v>1.6386335644158547</v>
      </c>
      <c r="J49" s="1" t="s">
        <v>44</v>
      </c>
      <c r="K49" s="51">
        <f>G49*2.54</f>
        <v>0.16386335644158548</v>
      </c>
      <c r="L49" s="1" t="s">
        <v>43</v>
      </c>
      <c r="M49" s="42">
        <f>G49*0.0254</f>
        <v>0.0016386335644158546</v>
      </c>
      <c r="N49" s="1" t="s">
        <v>35</v>
      </c>
      <c r="R49" s="48"/>
      <c r="S49" s="27" t="s">
        <v>28</v>
      </c>
      <c r="T49" s="27" t="s">
        <v>23</v>
      </c>
      <c r="U49" s="27">
        <f>U40</f>
        <v>-1.1473968024130974</v>
      </c>
      <c r="V49" s="27">
        <f>Z40</f>
        <v>2.060544666299139</v>
      </c>
      <c r="W49" s="27" t="s">
        <v>22</v>
      </c>
      <c r="X49" s="27" t="s">
        <v>23</v>
      </c>
      <c r="Y49" s="27">
        <f>U49-(0.5*$G$42/8-$G$59)/2</f>
        <v>-1.484270477308716</v>
      </c>
      <c r="Z49" s="27">
        <f>V49+$G$51</f>
        <v>2.2331924336254283</v>
      </c>
      <c r="AA49" s="27" t="s">
        <v>24</v>
      </c>
      <c r="AB49" s="58"/>
    </row>
    <row r="50" spans="2:28" ht="12.75">
      <c r="B50" s="12" t="s">
        <v>114</v>
      </c>
      <c r="C50" s="12" t="s">
        <v>33</v>
      </c>
      <c r="D50" s="12" t="s">
        <v>190</v>
      </c>
      <c r="E50" s="12"/>
      <c r="F50" s="12" t="s">
        <v>33</v>
      </c>
      <c r="G50" s="26">
        <f>G91/0.0254</f>
        <v>0.04394441741660494</v>
      </c>
      <c r="H50" s="23" t="s">
        <v>45</v>
      </c>
      <c r="I50" s="53">
        <f>G50*25.4</f>
        <v>1.1161882023817653</v>
      </c>
      <c r="J50" s="1" t="s">
        <v>44</v>
      </c>
      <c r="K50" s="51">
        <f>G50*2.54</f>
        <v>0.11161882023817654</v>
      </c>
      <c r="L50" s="1" t="s">
        <v>43</v>
      </c>
      <c r="M50" s="42">
        <f>G50*0.0254</f>
        <v>0.0011161882023817654</v>
      </c>
      <c r="N50" s="1" t="s">
        <v>35</v>
      </c>
      <c r="R50" s="48"/>
      <c r="S50" s="27" t="s">
        <v>28</v>
      </c>
      <c r="T50" s="27" t="s">
        <v>23</v>
      </c>
      <c r="U50" s="27">
        <f>Y41</f>
        <v>1.1473968024130974</v>
      </c>
      <c r="V50" s="27">
        <f>Z41</f>
        <v>2.060544666299139</v>
      </c>
      <c r="W50" s="27" t="s">
        <v>22</v>
      </c>
      <c r="X50" s="27" t="s">
        <v>23</v>
      </c>
      <c r="Y50" s="27">
        <f>U50+(0.5*$G$42/8-$G$59)/2</f>
        <v>1.484270477308716</v>
      </c>
      <c r="Z50" s="27">
        <f>V50+$G$51</f>
        <v>2.2331924336254283</v>
      </c>
      <c r="AA50" s="27" t="s">
        <v>24</v>
      </c>
      <c r="AB50" s="58"/>
    </row>
    <row r="51" spans="2:28" ht="12.75">
      <c r="B51" s="12" t="s">
        <v>217</v>
      </c>
      <c r="C51" s="12" t="s">
        <v>33</v>
      </c>
      <c r="D51" s="12" t="s">
        <v>218</v>
      </c>
      <c r="E51" s="12"/>
      <c r="F51" s="12" t="s">
        <v>33</v>
      </c>
      <c r="G51" s="26">
        <f>G101/0.0254</f>
        <v>0.17264776732628906</v>
      </c>
      <c r="H51" s="23" t="s">
        <v>45</v>
      </c>
      <c r="I51" s="53">
        <f>G51*25.4</f>
        <v>4.385253290087742</v>
      </c>
      <c r="J51" s="1" t="s">
        <v>44</v>
      </c>
      <c r="K51" s="51">
        <f>G51*2.54</f>
        <v>0.4385253290087742</v>
      </c>
      <c r="L51" s="1" t="s">
        <v>43</v>
      </c>
      <c r="M51" s="42">
        <f>G51*0.0254</f>
        <v>0.004385253290087742</v>
      </c>
      <c r="N51" s="1" t="s">
        <v>35</v>
      </c>
      <c r="R51" s="48"/>
      <c r="S51" s="27" t="s">
        <v>28</v>
      </c>
      <c r="T51" s="27" t="s">
        <v>23</v>
      </c>
      <c r="U51" s="27">
        <f>U42</f>
        <v>3.096894872586714</v>
      </c>
      <c r="V51" s="27">
        <f>Z42</f>
        <v>2.060544666299139</v>
      </c>
      <c r="W51" s="27" t="s">
        <v>22</v>
      </c>
      <c r="X51" s="27" t="s">
        <v>23</v>
      </c>
      <c r="Y51" s="27">
        <f>U51-(0.5*$G$42/8-$G$59)/2</f>
        <v>2.760021197691095</v>
      </c>
      <c r="Z51" s="27">
        <f>V51+$G$51</f>
        <v>2.2331924336254283</v>
      </c>
      <c r="AA51" s="27" t="s">
        <v>24</v>
      </c>
      <c r="AB51" s="58"/>
    </row>
    <row r="52" spans="9:28" ht="12.75">
      <c r="I52" s="53"/>
      <c r="K52" s="51"/>
      <c r="M52" s="42"/>
      <c r="R52" s="48"/>
      <c r="S52" s="27" t="s">
        <v>28</v>
      </c>
      <c r="T52" s="27" t="s">
        <v>23</v>
      </c>
      <c r="U52" s="27">
        <f>Y43</f>
        <v>5.391688477412909</v>
      </c>
      <c r="V52" s="27">
        <f>Z43</f>
        <v>2.060544666299139</v>
      </c>
      <c r="W52" s="27" t="s">
        <v>22</v>
      </c>
      <c r="X52" s="27" t="s">
        <v>23</v>
      </c>
      <c r="Y52" s="27">
        <f>U52+(0.5*$G$42/8-$G$59)/2</f>
        <v>5.728562152308527</v>
      </c>
      <c r="Z52" s="27">
        <f>V52+$G$51</f>
        <v>2.2331924336254283</v>
      </c>
      <c r="AA52" s="27" t="s">
        <v>24</v>
      </c>
      <c r="AB52" s="58"/>
    </row>
    <row r="53" spans="2:28" ht="12.75">
      <c r="B53" s="12" t="s">
        <v>64</v>
      </c>
      <c r="C53" s="12" t="s">
        <v>33</v>
      </c>
      <c r="D53" s="12" t="s">
        <v>65</v>
      </c>
      <c r="E53" s="12"/>
      <c r="F53" s="12" t="s">
        <v>33</v>
      </c>
      <c r="G53" s="24">
        <f>G105</f>
        <v>70.71067811865476</v>
      </c>
      <c r="H53" s="23" t="s">
        <v>67</v>
      </c>
      <c r="I53" s="53"/>
      <c r="K53" s="51"/>
      <c r="M53" s="42"/>
      <c r="R53" s="48"/>
      <c r="S53" s="27" t="s">
        <v>28</v>
      </c>
      <c r="T53" s="27" t="s">
        <v>23</v>
      </c>
      <c r="U53" s="27">
        <f>U44</f>
        <v>7.341186547586525</v>
      </c>
      <c r="V53" s="27">
        <f>Z44</f>
        <v>2.060544666299139</v>
      </c>
      <c r="W53" s="27" t="s">
        <v>22</v>
      </c>
      <c r="X53" s="27" t="s">
        <v>23</v>
      </c>
      <c r="Y53" s="27">
        <f>U53-(0.5*$G$42/8-$G$59)/2</f>
        <v>7.004312872690907</v>
      </c>
      <c r="Z53" s="27">
        <f>V53+$G$51</f>
        <v>2.2331924336254283</v>
      </c>
      <c r="AA53" s="27" t="s">
        <v>24</v>
      </c>
      <c r="AB53" s="58"/>
    </row>
    <row r="54" spans="2:28" ht="12.75">
      <c r="B54" s="12" t="s">
        <v>95</v>
      </c>
      <c r="C54" s="12" t="s">
        <v>33</v>
      </c>
      <c r="D54" s="12" t="s">
        <v>96</v>
      </c>
      <c r="E54" s="12"/>
      <c r="F54" s="12" t="s">
        <v>33</v>
      </c>
      <c r="G54" s="26">
        <f>G110/0.0254</f>
        <v>0.12722831441838153</v>
      </c>
      <c r="H54" s="23" t="s">
        <v>45</v>
      </c>
      <c r="I54" s="53">
        <f>G54*25.4</f>
        <v>3.231599186226891</v>
      </c>
      <c r="J54" s="1" t="s">
        <v>44</v>
      </c>
      <c r="K54" s="51">
        <f>G54*2.54</f>
        <v>0.3231599186226891</v>
      </c>
      <c r="L54" s="1" t="s">
        <v>43</v>
      </c>
      <c r="M54" s="42">
        <f>G54*0.0254</f>
        <v>0.0032315991862268906</v>
      </c>
      <c r="N54" s="1" t="s">
        <v>35</v>
      </c>
      <c r="R54" s="48"/>
      <c r="S54" s="27"/>
      <c r="T54" s="27"/>
      <c r="U54" s="27"/>
      <c r="V54" s="27"/>
      <c r="W54" s="27"/>
      <c r="X54" s="27"/>
      <c r="Y54" s="27"/>
      <c r="Z54" s="27"/>
      <c r="AA54" s="27"/>
      <c r="AB54" s="58"/>
    </row>
    <row r="55" spans="2:28" ht="12.75">
      <c r="B55" s="12" t="s">
        <v>119</v>
      </c>
      <c r="C55" s="12" t="s">
        <v>33</v>
      </c>
      <c r="D55" s="12" t="s">
        <v>126</v>
      </c>
      <c r="E55" s="12"/>
      <c r="F55" s="12" t="s">
        <v>33</v>
      </c>
      <c r="G55" s="26">
        <f>G113/0.0254</f>
        <v>0.39556992641980426</v>
      </c>
      <c r="H55" s="23" t="s">
        <v>45</v>
      </c>
      <c r="I55" s="53">
        <f>G55*25.4</f>
        <v>10.047476131063029</v>
      </c>
      <c r="J55" s="1" t="s">
        <v>44</v>
      </c>
      <c r="K55" s="51">
        <f>G55*2.54</f>
        <v>1.004747613106303</v>
      </c>
      <c r="L55" s="1" t="s">
        <v>43</v>
      </c>
      <c r="M55" s="42">
        <f>G55*0.0254</f>
        <v>0.010047476131063028</v>
      </c>
      <c r="N55" s="1" t="s">
        <v>35</v>
      </c>
      <c r="R55" s="48" t="s">
        <v>129</v>
      </c>
      <c r="S55" s="27" t="s">
        <v>28</v>
      </c>
      <c r="T55" s="27" t="s">
        <v>23</v>
      </c>
      <c r="U55" s="27">
        <f>Y46</f>
        <v>-7.004312872690907</v>
      </c>
      <c r="V55" s="27">
        <f>V46+(Z46-V46)/2-$G$58/2</f>
        <v>2.0918772236346497</v>
      </c>
      <c r="W55" s="27" t="s">
        <v>22</v>
      </c>
      <c r="X55" s="27" t="s">
        <v>23</v>
      </c>
      <c r="Y55" s="27">
        <f>U55+$G$59</f>
        <v>-6.616987303732191</v>
      </c>
      <c r="Z55" s="27">
        <f>V46+(Z46-V46)/2+$G$58/2</f>
        <v>2.2018598762899178</v>
      </c>
      <c r="AA55" s="27" t="s">
        <v>24</v>
      </c>
      <c r="AB55" s="58"/>
    </row>
    <row r="56" spans="9:28" ht="12.75">
      <c r="I56" s="53"/>
      <c r="K56" s="51"/>
      <c r="M56" s="42"/>
      <c r="R56" s="48"/>
      <c r="S56" s="27" t="s">
        <v>28</v>
      </c>
      <c r="T56" s="27" t="s">
        <v>23</v>
      </c>
      <c r="U56" s="27">
        <f>Y56-$G$59</f>
        <v>-6.115887721267242</v>
      </c>
      <c r="V56" s="27">
        <f>V47+(Z47-V47)/2-$G$58/2</f>
        <v>2.0918772236346497</v>
      </c>
      <c r="W56" s="27" t="s">
        <v>22</v>
      </c>
      <c r="X56" s="27" t="s">
        <v>23</v>
      </c>
      <c r="Y56" s="27">
        <f>Y47</f>
        <v>-5.728562152308527</v>
      </c>
      <c r="Z56" s="27">
        <f>V47+(Z47-V47)/2+$G$58/2</f>
        <v>2.2018598762899178</v>
      </c>
      <c r="AA56" s="27" t="s">
        <v>24</v>
      </c>
      <c r="AB56" s="58"/>
    </row>
    <row r="57" spans="2:28" ht="12.75">
      <c r="B57" s="12" t="s">
        <v>182</v>
      </c>
      <c r="C57" s="12" t="s">
        <v>33</v>
      </c>
      <c r="D57" s="12" t="s">
        <v>183</v>
      </c>
      <c r="E57" s="12"/>
      <c r="F57" s="12" t="s">
        <v>33</v>
      </c>
      <c r="G57" s="24">
        <f>G117</f>
        <v>76.68290771382809</v>
      </c>
      <c r="H57" s="23" t="s">
        <v>67</v>
      </c>
      <c r="I57" s="53"/>
      <c r="K57" s="51"/>
      <c r="M57" s="42"/>
      <c r="R57" s="48"/>
      <c r="S57" s="27" t="s">
        <v>28</v>
      </c>
      <c r="T57" s="27" t="s">
        <v>23</v>
      </c>
      <c r="U57" s="27">
        <f>Y48</f>
        <v>-2.760021197691095</v>
      </c>
      <c r="V57" s="27">
        <f>V48+(Z48-V48)/2-$G$58/2</f>
        <v>2.0918772236346497</v>
      </c>
      <c r="W57" s="27" t="s">
        <v>22</v>
      </c>
      <c r="X57" s="27" t="s">
        <v>23</v>
      </c>
      <c r="Y57" s="27">
        <f>U57+$G$59</f>
        <v>-2.3726956287323793</v>
      </c>
      <c r="Z57" s="27">
        <f>V48+(Z48-V48)/2+$G$58/2</f>
        <v>2.2018598762899178</v>
      </c>
      <c r="AA57" s="27" t="s">
        <v>24</v>
      </c>
      <c r="AB57" s="58"/>
    </row>
    <row r="58" spans="2:41" ht="12.75">
      <c r="B58" s="12" t="s">
        <v>212</v>
      </c>
      <c r="C58" s="12" t="s">
        <v>33</v>
      </c>
      <c r="D58" s="12" t="s">
        <v>213</v>
      </c>
      <c r="E58" s="12"/>
      <c r="F58" s="12" t="s">
        <v>33</v>
      </c>
      <c r="G58" s="26">
        <f>G122/0.0254</f>
        <v>0.10998265265526823</v>
      </c>
      <c r="H58" s="23" t="s">
        <v>45</v>
      </c>
      <c r="I58" s="53">
        <f>G58*25.4</f>
        <v>2.7935593774438128</v>
      </c>
      <c r="J58" s="1" t="s">
        <v>44</v>
      </c>
      <c r="K58" s="51">
        <f>G58*2.54</f>
        <v>0.2793559377443813</v>
      </c>
      <c r="L58" s="1" t="s">
        <v>43</v>
      </c>
      <c r="M58" s="42">
        <f>G58*0.0254</f>
        <v>0.002793559377443813</v>
      </c>
      <c r="N58" s="1" t="s">
        <v>35</v>
      </c>
      <c r="R58" s="48"/>
      <c r="S58" s="27" t="s">
        <v>28</v>
      </c>
      <c r="T58" s="27" t="s">
        <v>23</v>
      </c>
      <c r="U58" s="27">
        <f>Y58-$G$59</f>
        <v>-1.8715960462674317</v>
      </c>
      <c r="V58" s="27">
        <f>V49+(Z49-V49)/2-$G$58/2</f>
        <v>2.0918772236346497</v>
      </c>
      <c r="W58" s="27" t="s">
        <v>22</v>
      </c>
      <c r="X58" s="27" t="s">
        <v>23</v>
      </c>
      <c r="Y58" s="27">
        <f>Y49</f>
        <v>-1.484270477308716</v>
      </c>
      <c r="Z58" s="27">
        <f>V49+(Z49-V49)/2+$G$58/2</f>
        <v>2.2018598762899178</v>
      </c>
      <c r="AA58" s="27" t="s">
        <v>24</v>
      </c>
      <c r="AB58" s="58"/>
      <c r="AO58" s="1"/>
    </row>
    <row r="59" spans="2:28" ht="12.75">
      <c r="B59" s="12" t="s">
        <v>233</v>
      </c>
      <c r="C59" s="12" t="s">
        <v>33</v>
      </c>
      <c r="D59" s="12" t="s">
        <v>126</v>
      </c>
      <c r="E59" s="12"/>
      <c r="F59" s="12" t="s">
        <v>33</v>
      </c>
      <c r="G59" s="26">
        <f>G125/0.0254</f>
        <v>0.3873255689587156</v>
      </c>
      <c r="H59" s="23" t="s">
        <v>45</v>
      </c>
      <c r="I59" s="53">
        <f>G59*25.4</f>
        <v>9.838069451551377</v>
      </c>
      <c r="J59" s="1" t="s">
        <v>44</v>
      </c>
      <c r="K59" s="51">
        <f>G59*2.54</f>
        <v>0.9838069451551377</v>
      </c>
      <c r="L59" s="1" t="s">
        <v>43</v>
      </c>
      <c r="M59" s="42">
        <f>G59*0.0254</f>
        <v>0.009838069451551376</v>
      </c>
      <c r="N59" s="1" t="s">
        <v>35</v>
      </c>
      <c r="R59" s="48"/>
      <c r="S59" s="27" t="s">
        <v>28</v>
      </c>
      <c r="T59" s="27" t="s">
        <v>23</v>
      </c>
      <c r="U59" s="27">
        <f>Y50</f>
        <v>1.484270477308716</v>
      </c>
      <c r="V59" s="27">
        <f>V50+(Z50-V50)/2-$G$58/2</f>
        <v>2.0918772236346497</v>
      </c>
      <c r="W59" s="27" t="s">
        <v>22</v>
      </c>
      <c r="X59" s="27" t="s">
        <v>23</v>
      </c>
      <c r="Y59" s="27">
        <f>U59+$G$59</f>
        <v>1.8715960462674317</v>
      </c>
      <c r="Z59" s="27">
        <f>V50+(Z50-V50)/2+$G$58/2</f>
        <v>2.2018598762899178</v>
      </c>
      <c r="AA59" s="27" t="s">
        <v>24</v>
      </c>
      <c r="AB59" s="58"/>
    </row>
    <row r="60" spans="11:28" ht="12.75">
      <c r="K60" s="51"/>
      <c r="M60" s="42"/>
      <c r="R60" s="48"/>
      <c r="S60" s="27" t="s">
        <v>28</v>
      </c>
      <c r="T60" s="27" t="s">
        <v>23</v>
      </c>
      <c r="U60" s="27">
        <f>Y60-$G$59</f>
        <v>2.3726956287323793</v>
      </c>
      <c r="V60" s="27">
        <f>V51+(Z51-V51)/2-$G$58/2</f>
        <v>2.0918772236346497</v>
      </c>
      <c r="W60" s="27" t="s">
        <v>22</v>
      </c>
      <c r="X60" s="27" t="s">
        <v>23</v>
      </c>
      <c r="Y60" s="27">
        <f>Y51</f>
        <v>2.760021197691095</v>
      </c>
      <c r="Z60" s="27">
        <f>V51+(Z51-V51)/2+$G$58/2</f>
        <v>2.2018598762899178</v>
      </c>
      <c r="AA60" s="27" t="s">
        <v>24</v>
      </c>
      <c r="AB60" s="58"/>
    </row>
    <row r="61" spans="1:28" ht="12.75">
      <c r="A61" s="8" t="s">
        <v>84</v>
      </c>
      <c r="B61" s="8"/>
      <c r="C61" s="8"/>
      <c r="D61" s="8"/>
      <c r="E61" s="8"/>
      <c r="F61" s="8"/>
      <c r="G61" s="8"/>
      <c r="H61" s="16"/>
      <c r="I61" s="8"/>
      <c r="J61" s="8"/>
      <c r="K61" s="15"/>
      <c r="L61" s="8"/>
      <c r="M61" s="22"/>
      <c r="N61" s="8"/>
      <c r="O61" s="8"/>
      <c r="P61" s="8"/>
      <c r="R61" s="48"/>
      <c r="S61" s="27" t="s">
        <v>28</v>
      </c>
      <c r="T61" s="27" t="s">
        <v>23</v>
      </c>
      <c r="U61" s="27">
        <f>Y52</f>
        <v>5.728562152308527</v>
      </c>
      <c r="V61" s="27">
        <f>V52+(Z52-V52)/2-$G$58/2</f>
        <v>2.0918772236346497</v>
      </c>
      <c r="W61" s="27" t="s">
        <v>22</v>
      </c>
      <c r="X61" s="27" t="s">
        <v>23</v>
      </c>
      <c r="Y61" s="27">
        <f>U61+$G$59</f>
        <v>6.115887721267242</v>
      </c>
      <c r="Z61" s="27">
        <f>V52+(Z52-V52)/2+$G$58/2</f>
        <v>2.2018598762899178</v>
      </c>
      <c r="AA61" s="27" t="s">
        <v>24</v>
      </c>
      <c r="AB61" s="58"/>
    </row>
    <row r="62" spans="11:28" ht="12.75">
      <c r="K62" s="51"/>
      <c r="M62" s="42"/>
      <c r="R62" s="48"/>
      <c r="S62" s="27" t="s">
        <v>28</v>
      </c>
      <c r="T62" s="27" t="s">
        <v>23</v>
      </c>
      <c r="U62" s="27">
        <f>Y62-$G$59</f>
        <v>6.616987303732191</v>
      </c>
      <c r="V62" s="27">
        <f>V53+(Z53-V53)/2-$G$58/2</f>
        <v>2.0918772236346497</v>
      </c>
      <c r="W62" s="27" t="s">
        <v>22</v>
      </c>
      <c r="X62" s="27" t="s">
        <v>23</v>
      </c>
      <c r="Y62" s="27">
        <f>Y53</f>
        <v>7.004312872690907</v>
      </c>
      <c r="Z62" s="27">
        <f>V53+(Z53-V53)/2+$G$58/2</f>
        <v>2.2018598762899178</v>
      </c>
      <c r="AA62" s="27" t="s">
        <v>24</v>
      </c>
      <c r="AB62" s="58"/>
    </row>
    <row r="63" spans="2:28" ht="12.75">
      <c r="B63" s="12" t="s">
        <v>146</v>
      </c>
      <c r="C63" s="12" t="s">
        <v>33</v>
      </c>
      <c r="D63" s="12" t="s">
        <v>147</v>
      </c>
      <c r="E63" s="12"/>
      <c r="F63" s="12" t="s">
        <v>33</v>
      </c>
      <c r="G63" s="26">
        <f>W102</f>
        <v>3.924085063390865</v>
      </c>
      <c r="H63" s="23" t="s">
        <v>45</v>
      </c>
      <c r="I63" s="53">
        <f>G63*25.4</f>
        <v>99.67176061012796</v>
      </c>
      <c r="J63" s="1" t="s">
        <v>44</v>
      </c>
      <c r="K63" s="51">
        <f>G63*2.54</f>
        <v>9.967176061012797</v>
      </c>
      <c r="L63" s="1" t="s">
        <v>43</v>
      </c>
      <c r="M63" s="42">
        <f>G63*0.0254</f>
        <v>0.09967176061012796</v>
      </c>
      <c r="N63" s="1" t="s">
        <v>35</v>
      </c>
      <c r="R63" s="48"/>
      <c r="S63" s="27"/>
      <c r="T63" s="27"/>
      <c r="U63" s="27"/>
      <c r="V63" s="27"/>
      <c r="W63" s="27"/>
      <c r="X63" s="27"/>
      <c r="Y63" s="27"/>
      <c r="Z63" s="27"/>
      <c r="AA63" s="27"/>
      <c r="AB63" s="58"/>
    </row>
    <row r="64" spans="18:28" ht="12.75">
      <c r="R64" s="48" t="s">
        <v>46</v>
      </c>
      <c r="S64" s="27" t="s">
        <v>28</v>
      </c>
      <c r="T64" s="27" t="s">
        <v>23</v>
      </c>
      <c r="U64" s="27">
        <f>Y55</f>
        <v>-6.616987303732191</v>
      </c>
      <c r="V64" s="27">
        <f>V46+(Z46-V46)/2-$G$49/2</f>
        <v>2.1146119837336252</v>
      </c>
      <c r="W64" s="27" t="s">
        <v>22</v>
      </c>
      <c r="X64" s="27" t="s">
        <v>23</v>
      </c>
      <c r="Y64" s="27">
        <f>U56</f>
        <v>-6.115887721267242</v>
      </c>
      <c r="Z64" s="27">
        <f>V46+(Z46-V46)/2+$G$49/2</f>
        <v>2.179125116190942</v>
      </c>
      <c r="AA64" s="27" t="s">
        <v>24</v>
      </c>
      <c r="AB64" s="58"/>
    </row>
    <row r="65" spans="1:28" ht="12.75">
      <c r="A65" s="8" t="s">
        <v>205</v>
      </c>
      <c r="B65" s="8"/>
      <c r="C65" s="8"/>
      <c r="D65" s="8"/>
      <c r="E65" s="8"/>
      <c r="F65" s="8"/>
      <c r="G65" s="8"/>
      <c r="H65" s="16"/>
      <c r="I65" s="8"/>
      <c r="J65" s="8"/>
      <c r="K65" s="8"/>
      <c r="L65" s="8"/>
      <c r="M65" s="8"/>
      <c r="N65" s="8"/>
      <c r="O65" s="8"/>
      <c r="P65" s="8"/>
      <c r="R65" s="48"/>
      <c r="S65" s="27" t="s">
        <v>28</v>
      </c>
      <c r="T65" s="27" t="s">
        <v>23</v>
      </c>
      <c r="U65" s="27">
        <f>Y57</f>
        <v>-2.3726956287323793</v>
      </c>
      <c r="V65" s="27">
        <f>V47+(Z47-V47)/2-$G$49/2</f>
        <v>2.1146119837336252</v>
      </c>
      <c r="W65" s="27" t="s">
        <v>22</v>
      </c>
      <c r="X65" s="27" t="s">
        <v>23</v>
      </c>
      <c r="Y65" s="27">
        <f>U58</f>
        <v>-1.8715960462674317</v>
      </c>
      <c r="Z65" s="27">
        <f>V47+(Z47-V47)/2+$G$49/2</f>
        <v>2.179125116190942</v>
      </c>
      <c r="AA65" s="27" t="s">
        <v>24</v>
      </c>
      <c r="AB65" s="58"/>
    </row>
    <row r="66" spans="18:28" ht="12.75">
      <c r="R66" s="48"/>
      <c r="S66" s="27" t="s">
        <v>28</v>
      </c>
      <c r="T66" s="27" t="s">
        <v>23</v>
      </c>
      <c r="U66" s="27">
        <f>Y59</f>
        <v>1.8715960462674317</v>
      </c>
      <c r="V66" s="27">
        <f>V48+(Z48-V48)/2-$G$49/2</f>
        <v>2.1146119837336252</v>
      </c>
      <c r="W66" s="27" t="s">
        <v>22</v>
      </c>
      <c r="X66" s="27" t="s">
        <v>23</v>
      </c>
      <c r="Y66" s="27">
        <f>U60</f>
        <v>2.3726956287323793</v>
      </c>
      <c r="Z66" s="27">
        <f>V48+(Z48-V48)/2+$G$49/2</f>
        <v>2.179125116190942</v>
      </c>
      <c r="AA66" s="27" t="s">
        <v>24</v>
      </c>
      <c r="AB66" s="58"/>
    </row>
    <row r="67" spans="1:28" ht="12.75">
      <c r="A67" s="59" t="s">
        <v>47</v>
      </c>
      <c r="R67" s="48"/>
      <c r="S67" s="27" t="s">
        <v>28</v>
      </c>
      <c r="T67" s="27" t="s">
        <v>23</v>
      </c>
      <c r="U67" s="27">
        <f>Y61</f>
        <v>6.115887721267242</v>
      </c>
      <c r="V67" s="27">
        <f>V49+(Z49-V49)/2-$G$49/2</f>
        <v>2.1146119837336252</v>
      </c>
      <c r="W67" s="27" t="s">
        <v>22</v>
      </c>
      <c r="X67" s="27" t="s">
        <v>23</v>
      </c>
      <c r="Y67" s="27">
        <f>U62</f>
        <v>6.616987303732191</v>
      </c>
      <c r="Z67" s="27">
        <f>V49+(Z49-V49)/2+$G$49/2</f>
        <v>2.179125116190942</v>
      </c>
      <c r="AA67" s="27" t="s">
        <v>24</v>
      </c>
      <c r="AB67" s="58"/>
    </row>
    <row r="68" spans="19:28" ht="12.75">
      <c r="S68" s="27"/>
      <c r="T68" s="27"/>
      <c r="U68" s="27"/>
      <c r="V68" s="27"/>
      <c r="W68" s="27"/>
      <c r="X68" s="27"/>
      <c r="Y68" s="27"/>
      <c r="Z68" s="27"/>
      <c r="AA68" s="27"/>
      <c r="AB68" s="58"/>
    </row>
    <row r="69" spans="2:28" ht="12.75">
      <c r="B69" s="1" t="s">
        <v>109</v>
      </c>
      <c r="C69" s="1" t="s">
        <v>33</v>
      </c>
      <c r="D69" s="1" t="s">
        <v>110</v>
      </c>
      <c r="F69" s="1" t="s">
        <v>33</v>
      </c>
      <c r="G69" s="1">
        <v>50</v>
      </c>
      <c r="H69" s="21" t="s">
        <v>99</v>
      </c>
      <c r="R69" s="48" t="s">
        <v>111</v>
      </c>
      <c r="S69" s="27" t="s">
        <v>28</v>
      </c>
      <c r="T69" s="27" t="s">
        <v>23</v>
      </c>
      <c r="U69" s="27">
        <f>-3*$G$42/8-$G$48/2</f>
        <v>-6.477338639490138</v>
      </c>
      <c r="V69" s="27">
        <f>Z64</f>
        <v>2.179125116190942</v>
      </c>
      <c r="W69" s="27" t="s">
        <v>22</v>
      </c>
      <c r="X69" s="27" t="s">
        <v>23</v>
      </c>
      <c r="Y69" s="27">
        <f>-3*$G$42/8+$G$48/2</f>
        <v>-6.255536385509296</v>
      </c>
      <c r="Z69" s="27">
        <f>Z64+$G$22</f>
        <v>2.539125116190942</v>
      </c>
      <c r="AA69" s="27" t="s">
        <v>24</v>
      </c>
      <c r="AB69" s="58"/>
    </row>
    <row r="70" spans="18:28" ht="12.75">
      <c r="R70" s="48"/>
      <c r="S70" s="27" t="s">
        <v>28</v>
      </c>
      <c r="T70" s="27" t="s">
        <v>23</v>
      </c>
      <c r="U70" s="27">
        <f>-1*$G$42/8-$G$48/2</f>
        <v>-2.233046964490327</v>
      </c>
      <c r="V70" s="27">
        <f>Z65</f>
        <v>2.179125116190942</v>
      </c>
      <c r="W70" s="27" t="s">
        <v>22</v>
      </c>
      <c r="X70" s="27" t="s">
        <v>23</v>
      </c>
      <c r="Y70" s="27">
        <f>-1*$G$42/8+$G$48/2</f>
        <v>-2.011244710509484</v>
      </c>
      <c r="Z70" s="27">
        <f>Z65+$G$22</f>
        <v>2.539125116190942</v>
      </c>
      <c r="AA70" s="27" t="s">
        <v>24</v>
      </c>
      <c r="AB70" s="58"/>
    </row>
    <row r="71" spans="2:28" ht="12.75">
      <c r="B71" s="1" t="s">
        <v>78</v>
      </c>
      <c r="C71" s="1" t="s">
        <v>33</v>
      </c>
      <c r="D71" s="1" t="s">
        <v>79</v>
      </c>
      <c r="F71" s="1" t="s">
        <v>33</v>
      </c>
      <c r="G71" s="53">
        <f>377*PI()/(2*G69*SQRT($G$12))</f>
        <v>7.983893738565503</v>
      </c>
      <c r="I71" s="1" t="s">
        <v>80</v>
      </c>
      <c r="K71" s="1">
        <f>2/PI()*(G71-1-LN(2*G71-1)+($G$12-1)/(2*$G$12)*(LN(G71-1)+0.39-0.61/$G$12))</f>
        <v>3.080586860845038</v>
      </c>
      <c r="R71" s="48" t="s">
        <v>165</v>
      </c>
      <c r="S71" s="27" t="s">
        <v>28</v>
      </c>
      <c r="T71" s="27" t="s">
        <v>23</v>
      </c>
      <c r="U71" s="27">
        <f>1*$G$42/8-$G$48/2</f>
        <v>2.011244710509484</v>
      </c>
      <c r="V71" s="27">
        <f>Z66</f>
        <v>2.179125116190942</v>
      </c>
      <c r="W71" s="27" t="s">
        <v>22</v>
      </c>
      <c r="X71" s="27" t="s">
        <v>23</v>
      </c>
      <c r="Y71" s="27">
        <f>1*$G$42/8+$G$48/2</f>
        <v>2.233046964490327</v>
      </c>
      <c r="Z71" s="27">
        <f>Z66+$G$22</f>
        <v>2.539125116190942</v>
      </c>
      <c r="AA71" s="27" t="s">
        <v>24</v>
      </c>
      <c r="AB71" s="58"/>
    </row>
    <row r="72" spans="2:28" ht="12.75">
      <c r="B72" s="1" t="s">
        <v>63</v>
      </c>
      <c r="C72" s="1" t="s">
        <v>33</v>
      </c>
      <c r="D72" s="1" t="s">
        <v>50</v>
      </c>
      <c r="F72" s="1" t="s">
        <v>33</v>
      </c>
      <c r="G72" s="53">
        <f>G69/60*SQRT(($G$12+1)/2)+($G$12-1)/($G$12+1)*(0.23+0.11/$G$12)</f>
        <v>1.1592317121411704</v>
      </c>
      <c r="I72" s="1" t="s">
        <v>52</v>
      </c>
      <c r="K72" s="1">
        <f>8*EXP(G72)/(EXP(2*G72)-2)</f>
        <v>3.1249643702581893</v>
      </c>
      <c r="R72" s="48"/>
      <c r="S72" s="27" t="s">
        <v>28</v>
      </c>
      <c r="T72" s="27" t="s">
        <v>23</v>
      </c>
      <c r="U72" s="27">
        <f>3*$G$42/8-$G$48/2</f>
        <v>6.255536385509296</v>
      </c>
      <c r="V72" s="27">
        <f>Z67</f>
        <v>2.179125116190942</v>
      </c>
      <c r="W72" s="27" t="s">
        <v>22</v>
      </c>
      <c r="X72" s="27" t="s">
        <v>23</v>
      </c>
      <c r="Y72" s="27">
        <f>3*$G$42/8+$G$48/2</f>
        <v>6.477338639490138</v>
      </c>
      <c r="Z72" s="27">
        <f>Z67+$G$22</f>
        <v>2.539125116190942</v>
      </c>
      <c r="AA72" s="27" t="s">
        <v>24</v>
      </c>
      <c r="AB72" s="58"/>
    </row>
    <row r="73" spans="18:28" ht="12.75">
      <c r="R73" s="48"/>
      <c r="S73" s="27"/>
      <c r="T73" s="27"/>
      <c r="U73" s="27"/>
      <c r="V73" s="27"/>
      <c r="W73" s="27"/>
      <c r="X73" s="27"/>
      <c r="Y73" s="27"/>
      <c r="Z73" s="27"/>
      <c r="AA73" s="27"/>
      <c r="AB73" s="58"/>
    </row>
    <row r="74" spans="2:28" ht="12.75">
      <c r="B74" s="1" t="s">
        <v>32</v>
      </c>
      <c r="C74" s="1" t="s">
        <v>33</v>
      </c>
      <c r="D74" s="1" t="s">
        <v>34</v>
      </c>
      <c r="F74" s="1" t="s">
        <v>33</v>
      </c>
      <c r="G74" s="49">
        <f>IF(AND(K71&gt;2,K72&gt;2),K71*$G$18,K72*$G$18)</f>
        <v>0.005633777251113405</v>
      </c>
      <c r="H74" s="21" t="s">
        <v>35</v>
      </c>
      <c r="R74" s="48" t="s">
        <v>36</v>
      </c>
      <c r="S74" s="27" t="s">
        <v>28</v>
      </c>
      <c r="T74" s="27" t="s">
        <v>23</v>
      </c>
      <c r="U74" s="27">
        <f>Y69</f>
        <v>-6.255536385509296</v>
      </c>
      <c r="V74" s="27">
        <f>Z69</f>
        <v>2.539125116190942</v>
      </c>
      <c r="W74" s="27" t="s">
        <v>22</v>
      </c>
      <c r="X74" s="27" t="s">
        <v>23</v>
      </c>
      <c r="Y74" s="27">
        <f>U74+(U70-Y69-2*$G$59)/3</f>
        <v>-5.17292362447545</v>
      </c>
      <c r="Z74" s="27">
        <f>V74+$G$48</f>
        <v>2.760927370171785</v>
      </c>
      <c r="AA74" s="27" t="s">
        <v>24</v>
      </c>
      <c r="AB74" s="58"/>
    </row>
    <row r="75" spans="18:28" ht="12.75">
      <c r="R75" s="48"/>
      <c r="S75" s="27" t="s">
        <v>28</v>
      </c>
      <c r="T75" s="27" t="s">
        <v>23</v>
      </c>
      <c r="U75" s="27">
        <f>U70</f>
        <v>-2.233046964490327</v>
      </c>
      <c r="V75" s="27">
        <f>Z70</f>
        <v>2.539125116190942</v>
      </c>
      <c r="W75" s="27" t="s">
        <v>22</v>
      </c>
      <c r="X75" s="27" t="s">
        <v>23</v>
      </c>
      <c r="Y75" s="27">
        <f>U75-(U70-Y69-2*$G$59)/3</f>
        <v>-3.3156597255241733</v>
      </c>
      <c r="Z75" s="27">
        <f>V75+$G$48</f>
        <v>2.760927370171785</v>
      </c>
      <c r="AA75" s="27" t="s">
        <v>24</v>
      </c>
      <c r="AB75" s="58"/>
    </row>
    <row r="76" spans="1:28" ht="12.75">
      <c r="A76" s="59" t="s">
        <v>100</v>
      </c>
      <c r="R76" s="48" t="s">
        <v>36</v>
      </c>
      <c r="S76" s="27" t="s">
        <v>28</v>
      </c>
      <c r="T76" s="27" t="s">
        <v>23</v>
      </c>
      <c r="U76" s="27">
        <f>Y71</f>
        <v>2.233046964490327</v>
      </c>
      <c r="V76" s="27">
        <f>Z71</f>
        <v>2.539125116190942</v>
      </c>
      <c r="W76" s="27" t="s">
        <v>22</v>
      </c>
      <c r="X76" s="27" t="s">
        <v>23</v>
      </c>
      <c r="Y76" s="27">
        <f>U76+(U72-Y71-2*$G$59)/3</f>
        <v>3.3156597255241733</v>
      </c>
      <c r="Z76" s="27">
        <f>V76+$G$48</f>
        <v>2.760927370171785</v>
      </c>
      <c r="AA76" s="27" t="s">
        <v>24</v>
      </c>
      <c r="AB76" s="58"/>
    </row>
    <row r="77" spans="18:28" ht="12.75">
      <c r="R77" s="48"/>
      <c r="S77" s="27" t="s">
        <v>28</v>
      </c>
      <c r="T77" s="27" t="s">
        <v>23</v>
      </c>
      <c r="U77" s="27">
        <f>U72</f>
        <v>6.255536385509296</v>
      </c>
      <c r="V77" s="27">
        <f>Z72</f>
        <v>2.539125116190942</v>
      </c>
      <c r="W77" s="27" t="s">
        <v>22</v>
      </c>
      <c r="X77" s="27" t="s">
        <v>23</v>
      </c>
      <c r="Y77" s="27">
        <f>U77-(U72-Y71-2*$G$59)/3</f>
        <v>5.17292362447545</v>
      </c>
      <c r="Z77" s="27">
        <f>V77+$G$48</f>
        <v>2.760927370171785</v>
      </c>
      <c r="AA77" s="27" t="s">
        <v>24</v>
      </c>
      <c r="AB77" s="58"/>
    </row>
    <row r="78" spans="2:28" ht="12.75">
      <c r="B78" s="1" t="s">
        <v>159</v>
      </c>
      <c r="C78" s="1" t="s">
        <v>33</v>
      </c>
      <c r="D78" s="1" t="s">
        <v>110</v>
      </c>
      <c r="F78" s="1" t="s">
        <v>33</v>
      </c>
      <c r="G78" s="1">
        <v>100</v>
      </c>
      <c r="H78" s="21" t="s">
        <v>99</v>
      </c>
      <c r="R78" s="48"/>
      <c r="S78" s="27"/>
      <c r="T78" s="27"/>
      <c r="U78" s="27"/>
      <c r="V78" s="27"/>
      <c r="W78" s="27"/>
      <c r="X78" s="27"/>
      <c r="Y78" s="27"/>
      <c r="Z78" s="27"/>
      <c r="AA78" s="27"/>
      <c r="AB78" s="58"/>
    </row>
    <row r="79" spans="18:28" ht="12.75">
      <c r="R79" s="48" t="s">
        <v>27</v>
      </c>
      <c r="S79" s="27" t="s">
        <v>28</v>
      </c>
      <c r="T79" s="27" t="s">
        <v>23</v>
      </c>
      <c r="U79" s="27">
        <f>Y74</f>
        <v>-5.17292362447545</v>
      </c>
      <c r="V79" s="27">
        <f>Z74+(V74-Z74)/2-$G$54/2</f>
        <v>2.5864120859721726</v>
      </c>
      <c r="W79" s="27" t="s">
        <v>22</v>
      </c>
      <c r="X79" s="27" t="s">
        <v>23</v>
      </c>
      <c r="Y79" s="27">
        <f>U79+$G$55</f>
        <v>-4.777353698055646</v>
      </c>
      <c r="Z79" s="27">
        <f>V79+$G$54</f>
        <v>2.7136404003905543</v>
      </c>
      <c r="AA79" s="27" t="s">
        <v>24</v>
      </c>
      <c r="AB79" s="58"/>
    </row>
    <row r="80" spans="1:28" ht="12.75">
      <c r="A80" s="3"/>
      <c r="B80" s="1" t="s">
        <v>78</v>
      </c>
      <c r="C80" s="1" t="s">
        <v>33</v>
      </c>
      <c r="D80" s="1" t="s">
        <v>79</v>
      </c>
      <c r="F80" s="1" t="s">
        <v>33</v>
      </c>
      <c r="G80" s="53">
        <f>377*PI()/(2*G78*SQRT($G$12))</f>
        <v>3.9919468692827516</v>
      </c>
      <c r="I80" s="1" t="s">
        <v>80</v>
      </c>
      <c r="K80" s="1">
        <f>2/PI()*(G80-1-LN(2*G80-1)+($G$12-1)/(2*$G$12)*(LN(G80-1)+0.39-0.61/$G$12))</f>
        <v>0.8773114364026972</v>
      </c>
      <c r="R80" s="48"/>
      <c r="S80" s="27" t="s">
        <v>28</v>
      </c>
      <c r="T80" s="27" t="s">
        <v>23</v>
      </c>
      <c r="U80" s="27">
        <f>Y75</f>
        <v>-3.3156597255241733</v>
      </c>
      <c r="V80" s="27">
        <f>Z75+(V75-Z75)/2-$G$54/2</f>
        <v>2.5864120859721726</v>
      </c>
      <c r="W80" s="27" t="s">
        <v>22</v>
      </c>
      <c r="X80" s="27" t="s">
        <v>23</v>
      </c>
      <c r="Y80" s="27">
        <f>U80-$G$55</f>
        <v>-3.7112296519439774</v>
      </c>
      <c r="Z80" s="27">
        <f>V80+$G$54</f>
        <v>2.7136404003905543</v>
      </c>
      <c r="AA80" s="27" t="s">
        <v>24</v>
      </c>
      <c r="AB80" s="58"/>
    </row>
    <row r="81" spans="1:28" ht="12.75">
      <c r="A81" s="3"/>
      <c r="G81" s="53"/>
      <c r="R81" s="48" t="s">
        <v>27</v>
      </c>
      <c r="S81" s="27" t="s">
        <v>28</v>
      </c>
      <c r="T81" s="27" t="s">
        <v>23</v>
      </c>
      <c r="U81" s="27">
        <f>Y76</f>
        <v>3.3156597255241733</v>
      </c>
      <c r="V81" s="27">
        <f>Z76+(V76-Z76)/2-$G$54/2</f>
        <v>2.5864120859721726</v>
      </c>
      <c r="W81" s="27" t="s">
        <v>22</v>
      </c>
      <c r="X81" s="27" t="s">
        <v>23</v>
      </c>
      <c r="Y81" s="27">
        <f>U81+$G$55</f>
        <v>3.7112296519439774</v>
      </c>
      <c r="Z81" s="27">
        <f>V81+$G$54</f>
        <v>2.7136404003905543</v>
      </c>
      <c r="AA81" s="27" t="s">
        <v>24</v>
      </c>
      <c r="AB81" s="58"/>
    </row>
    <row r="82" spans="2:28" ht="12.75">
      <c r="B82" s="1" t="s">
        <v>63</v>
      </c>
      <c r="C82" s="1" t="s">
        <v>33</v>
      </c>
      <c r="D82" s="1" t="s">
        <v>50</v>
      </c>
      <c r="F82" s="1" t="s">
        <v>33</v>
      </c>
      <c r="G82" s="53">
        <f>G78/60*SQRT(($G$12+1)/2)+($G$12-1)/($G$12+1)*(0.23+0.11/$G$12)</f>
        <v>2.213432963220763</v>
      </c>
      <c r="I82" s="1" t="s">
        <v>52</v>
      </c>
      <c r="K82" s="1">
        <f>8*EXP(G82)/(EXP(2*G82)-2)</f>
        <v>0.8960157285738488</v>
      </c>
      <c r="R82" s="48"/>
      <c r="S82" s="27" t="s">
        <v>28</v>
      </c>
      <c r="T82" s="27" t="s">
        <v>23</v>
      </c>
      <c r="U82" s="27">
        <f>Y77</f>
        <v>5.17292362447545</v>
      </c>
      <c r="V82" s="27">
        <f>Z77+(V77-Z77)/2-$G$54/2</f>
        <v>2.5864120859721726</v>
      </c>
      <c r="W82" s="27" t="s">
        <v>22</v>
      </c>
      <c r="X82" s="27" t="s">
        <v>23</v>
      </c>
      <c r="Y82" s="27">
        <f>U82-$G$55</f>
        <v>4.777353698055646</v>
      </c>
      <c r="Z82" s="27">
        <f>V82+$G$54</f>
        <v>2.7136404003905543</v>
      </c>
      <c r="AA82" s="27" t="s">
        <v>24</v>
      </c>
      <c r="AB82" s="58"/>
    </row>
    <row r="83" spans="18:28" ht="12.75">
      <c r="R83" s="48"/>
      <c r="S83" s="27"/>
      <c r="T83" s="27"/>
      <c r="U83" s="27"/>
      <c r="V83" s="27"/>
      <c r="W83" s="27"/>
      <c r="X83" s="27"/>
      <c r="Y83" s="27"/>
      <c r="Z83" s="27"/>
      <c r="AA83" s="27"/>
      <c r="AB83" s="58"/>
    </row>
    <row r="84" spans="2:28" ht="12.75">
      <c r="B84" s="1" t="s">
        <v>123</v>
      </c>
      <c r="C84" s="1" t="s">
        <v>33</v>
      </c>
      <c r="D84" s="1" t="s">
        <v>124</v>
      </c>
      <c r="F84" s="1" t="s">
        <v>33</v>
      </c>
      <c r="G84" s="49">
        <f>IF(AND(K80&gt;2,K82&gt;2),K80*$G$18,K82*$G$18)</f>
        <v>0.0016386335644158546</v>
      </c>
      <c r="H84" s="21" t="s">
        <v>35</v>
      </c>
      <c r="R84" s="48" t="s">
        <v>46</v>
      </c>
      <c r="S84" s="27" t="s">
        <v>28</v>
      </c>
      <c r="T84" s="27" t="s">
        <v>23</v>
      </c>
      <c r="U84" s="27">
        <f>Y79</f>
        <v>-4.777353698055646</v>
      </c>
      <c r="V84" s="27">
        <f>V79+(Z79-V79)/2-$G$49/2</f>
        <v>2.617769676952705</v>
      </c>
      <c r="W84" s="27" t="s">
        <v>22</v>
      </c>
      <c r="X84" s="27" t="s">
        <v>23</v>
      </c>
      <c r="Y84" s="27">
        <f>Y80</f>
        <v>-3.7112296519439774</v>
      </c>
      <c r="Z84" s="27">
        <f>V79+(Z79-V79)/2+$G$49/2</f>
        <v>2.682282809410022</v>
      </c>
      <c r="AA84" s="27" t="s">
        <v>24</v>
      </c>
      <c r="AB84" s="58"/>
    </row>
    <row r="85" spans="18:28" ht="12.75">
      <c r="R85" s="48" t="s">
        <v>46</v>
      </c>
      <c r="S85" s="27" t="s">
        <v>28</v>
      </c>
      <c r="T85" s="27" t="s">
        <v>23</v>
      </c>
      <c r="U85" s="27">
        <f>Y81</f>
        <v>3.7112296519439774</v>
      </c>
      <c r="V85" s="27">
        <f>V81+(Z81-V81)/2-$G$49/2</f>
        <v>2.617769676952705</v>
      </c>
      <c r="W85" s="27" t="s">
        <v>22</v>
      </c>
      <c r="X85" s="27" t="s">
        <v>23</v>
      </c>
      <c r="Y85" s="27">
        <f>Y82</f>
        <v>4.777353698055646</v>
      </c>
      <c r="Z85" s="27">
        <f>V81+(Z81-V81)/2+$G$49/2</f>
        <v>2.682282809410022</v>
      </c>
      <c r="AA85" s="27" t="s">
        <v>24</v>
      </c>
      <c r="AB85" s="58"/>
    </row>
    <row r="86" spans="1:28" ht="12.75">
      <c r="A86" s="59" t="s">
        <v>179</v>
      </c>
      <c r="R86" s="30"/>
      <c r="S86" s="27"/>
      <c r="T86" s="27"/>
      <c r="U86" s="27"/>
      <c r="V86" s="27"/>
      <c r="W86" s="27"/>
      <c r="X86" s="27"/>
      <c r="Y86" s="27"/>
      <c r="Z86" s="27"/>
      <c r="AA86" s="27"/>
      <c r="AB86" s="58"/>
    </row>
    <row r="87" spans="18:28" ht="12.75">
      <c r="R87" s="48" t="s">
        <v>211</v>
      </c>
      <c r="S87" s="27" t="s">
        <v>28</v>
      </c>
      <c r="T87" s="27" t="s">
        <v>23</v>
      </c>
      <c r="U87" s="27">
        <f>-$G$42/4-$G$48/2</f>
        <v>-4.355192801990232</v>
      </c>
      <c r="V87" s="27">
        <f>Z85</f>
        <v>2.682282809410022</v>
      </c>
      <c r="W87" s="27" t="s">
        <v>22</v>
      </c>
      <c r="X87" s="27" t="s">
        <v>23</v>
      </c>
      <c r="Y87" s="27">
        <f>-$G$42/4+$G$48/2</f>
        <v>-4.13339054800939</v>
      </c>
      <c r="Z87" s="27">
        <f>Z85+$G$22</f>
        <v>3.042282809410022</v>
      </c>
      <c r="AA87" s="27" t="s">
        <v>24</v>
      </c>
      <c r="AB87" s="58"/>
    </row>
    <row r="88" spans="2:28" ht="12.75">
      <c r="B88" s="1" t="s">
        <v>78</v>
      </c>
      <c r="C88" s="1" t="s">
        <v>33</v>
      </c>
      <c r="D88" s="1" t="s">
        <v>79</v>
      </c>
      <c r="F88" s="1" t="s">
        <v>33</v>
      </c>
      <c r="G88" s="53">
        <f>377*PI()/(2*$G$44*SQRT($G$12))</f>
        <v>3.394357741481345</v>
      </c>
      <c r="I88" s="1" t="s">
        <v>80</v>
      </c>
      <c r="K88" s="1">
        <f>2/PI()*(G88-1-LN(2*G88-1)+($G$12-1)/(2*$G$12)*(LN(G88-1)+0.39-0.61/$G$12))</f>
        <v>0.5776708751586885</v>
      </c>
      <c r="R88" s="48"/>
      <c r="S88" s="27" t="s">
        <v>28</v>
      </c>
      <c r="T88" s="27" t="s">
        <v>23</v>
      </c>
      <c r="U88" s="27">
        <f>$G$42/4-$G$48/2</f>
        <v>4.13339054800939</v>
      </c>
      <c r="V88" s="27">
        <f>Z84</f>
        <v>2.682282809410022</v>
      </c>
      <c r="W88" s="27" t="s">
        <v>22</v>
      </c>
      <c r="X88" s="27" t="s">
        <v>23</v>
      </c>
      <c r="Y88" s="27">
        <f>$G$42/4+$G$48/2</f>
        <v>4.355192801990232</v>
      </c>
      <c r="Z88" s="27">
        <f>Z84+$G$22</f>
        <v>3.042282809410022</v>
      </c>
      <c r="AA88" s="27" t="s">
        <v>24</v>
      </c>
      <c r="AB88" s="58"/>
    </row>
    <row r="89" spans="2:28" ht="12.75">
      <c r="B89" s="1" t="s">
        <v>49</v>
      </c>
      <c r="C89" s="1" t="s">
        <v>33</v>
      </c>
      <c r="D89" s="1" t="s">
        <v>50</v>
      </c>
      <c r="F89" s="1" t="s">
        <v>33</v>
      </c>
      <c r="G89" s="53">
        <f>$G$44/60*SQRT(($G$12+1)/2)+($G$12-1)/($G$12+1)*(0.23+0.11/$G$12)</f>
        <v>2.584624955426554</v>
      </c>
      <c r="I89" s="1" t="s">
        <v>52</v>
      </c>
      <c r="K89" s="1">
        <f>8*EXP(G89)/(EXP(2*G89)-2)</f>
        <v>0.6103391307861797</v>
      </c>
      <c r="R89" s="48"/>
      <c r="S89" s="27"/>
      <c r="T89" s="27"/>
      <c r="U89" s="27"/>
      <c r="V89" s="27"/>
      <c r="W89" s="27"/>
      <c r="X89" s="27"/>
      <c r="Y89" s="27"/>
      <c r="Z89" s="27"/>
      <c r="AA89" s="27"/>
      <c r="AB89" s="58"/>
    </row>
    <row r="90" spans="18:28" ht="12.75">
      <c r="R90" s="48" t="s">
        <v>36</v>
      </c>
      <c r="S90" s="27" t="s">
        <v>28</v>
      </c>
      <c r="T90" s="27" t="s">
        <v>23</v>
      </c>
      <c r="U90" s="27">
        <f>Y87</f>
        <v>-4.13339054800939</v>
      </c>
      <c r="V90" s="27">
        <f>Z87</f>
        <v>3.042282809410022</v>
      </c>
      <c r="W90" s="27" t="s">
        <v>22</v>
      </c>
      <c r="X90" s="27" t="s">
        <v>23</v>
      </c>
      <c r="Y90" s="27">
        <f>U90+(U88-Y87-2*$G$59)/3</f>
        <v>-1.6360138953089405</v>
      </c>
      <c r="Z90" s="27">
        <f>V90+$G$48</f>
        <v>3.2640850633908647</v>
      </c>
      <c r="AA90" s="27" t="s">
        <v>24</v>
      </c>
      <c r="AB90" s="58"/>
    </row>
    <row r="91" spans="2:28" ht="12.75">
      <c r="B91" s="1" t="s">
        <v>114</v>
      </c>
      <c r="C91" s="1" t="s">
        <v>33</v>
      </c>
      <c r="D91" s="1" t="s">
        <v>115</v>
      </c>
      <c r="F91" s="1" t="s">
        <v>33</v>
      </c>
      <c r="G91" s="49">
        <f>IF(AND(K88&gt;2,K89&gt;2),K88*$G$18,K89*$G$18)</f>
        <v>0.0011161882023817654</v>
      </c>
      <c r="H91" s="21" t="s">
        <v>35</v>
      </c>
      <c r="R91" s="48"/>
      <c r="S91" s="27" t="s">
        <v>28</v>
      </c>
      <c r="T91" s="27" t="s">
        <v>23</v>
      </c>
      <c r="U91" s="27">
        <f>U88</f>
        <v>4.13339054800939</v>
      </c>
      <c r="V91" s="27">
        <f>Z88</f>
        <v>3.042282809410022</v>
      </c>
      <c r="W91" s="27" t="s">
        <v>22</v>
      </c>
      <c r="X91" s="27" t="s">
        <v>23</v>
      </c>
      <c r="Y91" s="27">
        <f>U91-(U88-Y87-2*$G$59)/3</f>
        <v>1.6360138953089405</v>
      </c>
      <c r="Z91" s="27">
        <f>V91+$G$48</f>
        <v>3.2640850633908647</v>
      </c>
      <c r="AA91" s="27" t="s">
        <v>24</v>
      </c>
      <c r="AB91" s="58"/>
    </row>
    <row r="92" spans="18:28" ht="12.75">
      <c r="R92" s="48"/>
      <c r="S92" s="27"/>
      <c r="T92" s="27"/>
      <c r="U92" s="27"/>
      <c r="V92" s="27"/>
      <c r="W92" s="27"/>
      <c r="X92" s="27"/>
      <c r="Y92" s="27"/>
      <c r="Z92" s="27"/>
      <c r="AA92" s="27"/>
      <c r="AB92" s="58"/>
    </row>
    <row r="93" spans="1:28" ht="12.75">
      <c r="A93" s="59" t="s">
        <v>173</v>
      </c>
      <c r="R93" s="48" t="s">
        <v>27</v>
      </c>
      <c r="S93" s="27" t="s">
        <v>28</v>
      </c>
      <c r="T93" s="27" t="s">
        <v>23</v>
      </c>
      <c r="U93" s="27">
        <f>Y90</f>
        <v>-1.6360138953089405</v>
      </c>
      <c r="V93" s="27">
        <f>Z90+(V90-Z90)/2-$G$54/2</f>
        <v>3.0895697791912524</v>
      </c>
      <c r="W93" s="27" t="s">
        <v>22</v>
      </c>
      <c r="X93" s="27" t="s">
        <v>23</v>
      </c>
      <c r="Y93" s="27">
        <f>U93+$G$55</f>
        <v>-1.2404439688891362</v>
      </c>
      <c r="Z93" s="27">
        <f>V93+$G$54</f>
        <v>3.216798093609634</v>
      </c>
      <c r="AA93" s="27" t="s">
        <v>24</v>
      </c>
      <c r="AB93" s="58"/>
    </row>
    <row r="94" spans="18:28" ht="12.75">
      <c r="R94" s="48"/>
      <c r="S94" s="27" t="s">
        <v>28</v>
      </c>
      <c r="T94" s="27" t="s">
        <v>23</v>
      </c>
      <c r="U94" s="27">
        <f>Y91</f>
        <v>1.6360138953089405</v>
      </c>
      <c r="V94" s="27">
        <f>Z91+(V91-Z91)/2-$G$54/2</f>
        <v>3.0895697791912524</v>
      </c>
      <c r="W94" s="27" t="s">
        <v>22</v>
      </c>
      <c r="X94" s="27" t="s">
        <v>23</v>
      </c>
      <c r="Y94" s="27">
        <f>U94-$G$55</f>
        <v>1.2404439688891362</v>
      </c>
      <c r="Z94" s="27">
        <f>V94+$G$54</f>
        <v>3.216798093609634</v>
      </c>
      <c r="AA94" s="27" t="s">
        <v>24</v>
      </c>
      <c r="AB94" s="58"/>
    </row>
    <row r="95" spans="2:28" ht="12.75">
      <c r="B95" s="1" t="s">
        <v>159</v>
      </c>
      <c r="C95" s="1" t="s">
        <v>33</v>
      </c>
      <c r="D95" s="1" t="s">
        <v>110</v>
      </c>
      <c r="F95" s="1" t="s">
        <v>33</v>
      </c>
      <c r="G95" s="1">
        <f>G44/2</f>
        <v>58.802683354474745</v>
      </c>
      <c r="H95" s="21" t="s">
        <v>99</v>
      </c>
      <c r="R95" s="48"/>
      <c r="S95" s="27"/>
      <c r="T95" s="27"/>
      <c r="U95" s="27"/>
      <c r="V95" s="27"/>
      <c r="W95" s="27"/>
      <c r="X95" s="27"/>
      <c r="Y95" s="27"/>
      <c r="Z95" s="27"/>
      <c r="AA95" s="27"/>
      <c r="AB95" s="58"/>
    </row>
    <row r="96" spans="18:28" ht="12.75">
      <c r="R96" s="48" t="s">
        <v>46</v>
      </c>
      <c r="S96" s="27" t="s">
        <v>28</v>
      </c>
      <c r="T96" s="27" t="s">
        <v>23</v>
      </c>
      <c r="U96" s="27">
        <f>Y93</f>
        <v>-1.2404439688891362</v>
      </c>
      <c r="V96" s="27">
        <f>V93+(Z93-V93)/2-$G$49/2</f>
        <v>3.120927370171785</v>
      </c>
      <c r="W96" s="27" t="s">
        <v>22</v>
      </c>
      <c r="X96" s="27" t="s">
        <v>23</v>
      </c>
      <c r="Y96" s="27">
        <f>Y94</f>
        <v>1.2404439688891362</v>
      </c>
      <c r="Z96" s="27">
        <f>V93+(Z93-V93)/2+$G$49/2</f>
        <v>3.1854405026291017</v>
      </c>
      <c r="AA96" s="27" t="s">
        <v>24</v>
      </c>
      <c r="AB96" s="58"/>
    </row>
    <row r="97" spans="1:28" ht="12.75">
      <c r="A97" s="3"/>
      <c r="B97" s="1" t="s">
        <v>78</v>
      </c>
      <c r="C97" s="1" t="s">
        <v>33</v>
      </c>
      <c r="D97" s="1" t="s">
        <v>79</v>
      </c>
      <c r="F97" s="1" t="s">
        <v>33</v>
      </c>
      <c r="G97" s="53">
        <f>377*PI()/(2*G95*SQRT($G$12))</f>
        <v>6.78871548296269</v>
      </c>
      <c r="I97" s="1" t="s">
        <v>80</v>
      </c>
      <c r="K97" s="1">
        <f>2/PI()*(G97-1-LN(2*G97-1)+($G$12-1)/(2*$G$12)*(LN(G97-1)+0.39-0.61/$G$12))</f>
        <v>2.3978856573095704</v>
      </c>
      <c r="S97" s="27"/>
      <c r="T97" s="27"/>
      <c r="U97" s="27"/>
      <c r="V97" s="27"/>
      <c r="W97" s="27"/>
      <c r="X97" s="27"/>
      <c r="Y97" s="27"/>
      <c r="Z97" s="27"/>
      <c r="AA97" s="27"/>
      <c r="AB97" s="58"/>
    </row>
    <row r="98" spans="1:28" ht="12.75">
      <c r="A98" s="3"/>
      <c r="G98" s="53"/>
      <c r="R98" s="48" t="s">
        <v>105</v>
      </c>
      <c r="S98" s="27" t="s">
        <v>106</v>
      </c>
      <c r="T98" s="27" t="s">
        <v>107</v>
      </c>
      <c r="U98" s="27">
        <f>$G$24</f>
        <v>0.05</v>
      </c>
      <c r="V98" s="27" t="s">
        <v>108</v>
      </c>
      <c r="W98" s="27"/>
      <c r="X98" s="27"/>
      <c r="Y98" s="27"/>
      <c r="Z98" s="27"/>
      <c r="AA98" s="27"/>
      <c r="AB98" s="58"/>
    </row>
    <row r="99" spans="2:28" ht="12.75">
      <c r="B99" s="1" t="s">
        <v>63</v>
      </c>
      <c r="C99" s="1" t="s">
        <v>33</v>
      </c>
      <c r="D99" s="1" t="s">
        <v>50</v>
      </c>
      <c r="F99" s="1" t="s">
        <v>33</v>
      </c>
      <c r="G99" s="53">
        <f>G95/60*SQRT(($G$12+1)/2)+($G$12-1)/($G$12+1)*(0.23+0.11/$G$12)</f>
        <v>1.3448277082440658</v>
      </c>
      <c r="I99" s="1" t="s">
        <v>52</v>
      </c>
      <c r="K99" s="1">
        <f>8*EXP(G99)/(EXP(2*G99)-2)</f>
        <v>2.4122861774220485</v>
      </c>
      <c r="R99" s="48"/>
      <c r="S99" s="27" t="s">
        <v>138</v>
      </c>
      <c r="T99" s="27" t="s">
        <v>139</v>
      </c>
      <c r="U99" s="27" t="s">
        <v>23</v>
      </c>
      <c r="V99" s="27">
        <v>0</v>
      </c>
      <c r="W99" s="27">
        <f>V96+(Z96-V96)/2</f>
        <v>3.1531839364004433</v>
      </c>
      <c r="X99" s="27" t="s">
        <v>24</v>
      </c>
      <c r="Y99" s="27"/>
      <c r="Z99" s="27"/>
      <c r="AA99" s="27"/>
      <c r="AB99" s="58"/>
    </row>
    <row r="100" spans="19:28" ht="12.75">
      <c r="S100" s="27"/>
      <c r="T100" s="27"/>
      <c r="U100" s="27"/>
      <c r="V100" s="27"/>
      <c r="W100" s="27"/>
      <c r="X100" s="27"/>
      <c r="Y100" s="27"/>
      <c r="Z100" s="27"/>
      <c r="AA100" s="27"/>
      <c r="AB100" s="58"/>
    </row>
    <row r="101" spans="2:28" ht="12.75">
      <c r="B101" s="1" t="s">
        <v>123</v>
      </c>
      <c r="C101" s="1" t="s">
        <v>33</v>
      </c>
      <c r="D101" s="1" t="s">
        <v>124</v>
      </c>
      <c r="F101" s="1" t="s">
        <v>33</v>
      </c>
      <c r="G101" s="49">
        <f>IF(AND(K97&gt;2,K99&gt;2),K97*$G$18,K99*$G$18)</f>
        <v>0.004385253290087742</v>
      </c>
      <c r="H101" s="21" t="s">
        <v>35</v>
      </c>
      <c r="R101" s="48" t="s">
        <v>193</v>
      </c>
      <c r="S101" s="27" t="s">
        <v>25</v>
      </c>
      <c r="T101" s="27">
        <v>0.01</v>
      </c>
      <c r="U101" s="27" t="s">
        <v>23</v>
      </c>
      <c r="V101" s="27">
        <v>-9</v>
      </c>
      <c r="W101" s="27">
        <v>0</v>
      </c>
      <c r="X101" s="27" t="s">
        <v>194</v>
      </c>
      <c r="Y101" s="27" t="s">
        <v>23</v>
      </c>
      <c r="Z101" s="27">
        <v>9</v>
      </c>
      <c r="AA101" s="27">
        <v>0</v>
      </c>
      <c r="AB101" s="58" t="s">
        <v>24</v>
      </c>
    </row>
    <row r="102" spans="18:28" ht="12.75">
      <c r="R102" s="48"/>
      <c r="S102" s="27" t="s">
        <v>25</v>
      </c>
      <c r="T102" s="27">
        <v>0.01</v>
      </c>
      <c r="U102" s="27" t="s">
        <v>23</v>
      </c>
      <c r="V102" s="27">
        <v>-9</v>
      </c>
      <c r="W102" s="27">
        <f>$W$99+$G$48/2+$G$22+$G$31</f>
        <v>3.924085063390865</v>
      </c>
      <c r="X102" s="27" t="s">
        <v>22</v>
      </c>
      <c r="Y102" s="27" t="s">
        <v>23</v>
      </c>
      <c r="Z102" s="27">
        <v>9</v>
      </c>
      <c r="AA102" s="27">
        <f>W102</f>
        <v>3.924085063390865</v>
      </c>
      <c r="AB102" s="58" t="s">
        <v>24</v>
      </c>
    </row>
    <row r="103" spans="1:28" ht="12.75">
      <c r="A103" s="59" t="s">
        <v>30</v>
      </c>
      <c r="S103" s="27"/>
      <c r="T103" s="27"/>
      <c r="U103" s="27"/>
      <c r="V103" s="27"/>
      <c r="W103" s="27"/>
      <c r="X103" s="27"/>
      <c r="Y103" s="27"/>
      <c r="Z103" s="27"/>
      <c r="AA103" s="27"/>
      <c r="AB103" s="58"/>
    </row>
    <row r="104" spans="18:28" ht="12.75">
      <c r="R104" s="48" t="s">
        <v>73</v>
      </c>
      <c r="S104" s="27" t="s">
        <v>25</v>
      </c>
      <c r="T104" s="27">
        <v>0.1</v>
      </c>
      <c r="U104" s="27" t="s">
        <v>23</v>
      </c>
      <c r="V104" s="27">
        <f>$G$42/2+$T$104</f>
        <v>8.588583349999622</v>
      </c>
      <c r="W104" s="27">
        <f>W102-+$G$22</f>
        <v>3.564085063390865</v>
      </c>
      <c r="X104" s="27" t="s">
        <v>22</v>
      </c>
      <c r="Y104" s="27" t="s">
        <v>23</v>
      </c>
      <c r="Z104" s="27">
        <f>$G$42/2+$T$104</f>
        <v>8.588583349999622</v>
      </c>
      <c r="AA104" s="27">
        <f>$Z$9+$G$22</f>
        <v>1.6566002488825342</v>
      </c>
      <c r="AB104" s="58" t="s">
        <v>24</v>
      </c>
    </row>
    <row r="105" spans="2:28" ht="12.75">
      <c r="B105" s="1" t="s">
        <v>64</v>
      </c>
      <c r="C105" s="1" t="s">
        <v>33</v>
      </c>
      <c r="D105" s="1" t="s">
        <v>98</v>
      </c>
      <c r="F105" s="1" t="s">
        <v>33</v>
      </c>
      <c r="G105" s="53">
        <f>SQRT(100*50)</f>
        <v>70.71067811865476</v>
      </c>
      <c r="H105" s="21" t="s">
        <v>99</v>
      </c>
      <c r="R105" s="48"/>
      <c r="S105" s="27" t="s">
        <v>25</v>
      </c>
      <c r="T105" s="27">
        <v>0.1</v>
      </c>
      <c r="U105" s="27" t="s">
        <v>23</v>
      </c>
      <c r="V105" s="27">
        <f>-$G$42/2-$T$105</f>
        <v>-8.588583349999622</v>
      </c>
      <c r="W105" s="27">
        <f>W102-+$G$22</f>
        <v>3.564085063390865</v>
      </c>
      <c r="X105" s="27" t="s">
        <v>22</v>
      </c>
      <c r="Y105" s="27" t="s">
        <v>23</v>
      </c>
      <c r="Z105" s="27">
        <f>-$G$42/2-$T$105</f>
        <v>-8.588583349999622</v>
      </c>
      <c r="AA105" s="27">
        <f>$Z$9+$G$22</f>
        <v>1.6566002488825342</v>
      </c>
      <c r="AB105" s="58" t="s">
        <v>24</v>
      </c>
    </row>
    <row r="106" spans="19:28" ht="12.75">
      <c r="S106" s="27"/>
      <c r="T106" s="27"/>
      <c r="U106" s="27"/>
      <c r="V106" s="27"/>
      <c r="W106" s="27"/>
      <c r="X106" s="27"/>
      <c r="Y106" s="27"/>
      <c r="Z106" s="27"/>
      <c r="AA106" s="27"/>
      <c r="AB106" s="58"/>
    </row>
    <row r="107" spans="2:28" ht="12.75">
      <c r="B107" s="1" t="s">
        <v>78</v>
      </c>
      <c r="C107" s="1" t="s">
        <v>33</v>
      </c>
      <c r="D107" s="1" t="s">
        <v>79</v>
      </c>
      <c r="F107" s="1" t="s">
        <v>33</v>
      </c>
      <c r="G107" s="53">
        <f>377*PI()/(2*G105*SQRT($G$12))</f>
        <v>5.6454654028124835</v>
      </c>
      <c r="I107" s="1" t="s">
        <v>80</v>
      </c>
      <c r="K107" s="1">
        <f>2/PI()*(G107-1-LN(2*G107-1)+($G$12-1)/(2*$G$12)*(LN(G107-1)+0.39-0.61/$G$12))</f>
        <v>1.7595920795056181</v>
      </c>
      <c r="R107" s="48" t="s">
        <v>158</v>
      </c>
      <c r="S107" s="27" t="s">
        <v>28</v>
      </c>
      <c r="T107" s="27" t="s">
        <v>23</v>
      </c>
      <c r="U107" s="27">
        <f>Y11+(U11-Y11)/2</f>
        <v>-7.9580468906246455</v>
      </c>
      <c r="V107" s="27">
        <f>Z11-(Z11-Z28)/2</f>
        <v>1.6785724575908367</v>
      </c>
      <c r="W107" s="27" t="s">
        <v>22</v>
      </c>
      <c r="X107" s="27" t="s">
        <v>23</v>
      </c>
      <c r="Y107" s="27">
        <f>Y11</f>
        <v>-7.9360746819163435</v>
      </c>
      <c r="Z107" s="35">
        <f>Z11</f>
        <v>1.6566002488825342</v>
      </c>
      <c r="AA107" s="27" t="s">
        <v>24</v>
      </c>
      <c r="AB107" s="58"/>
    </row>
    <row r="108" spans="2:28" ht="12.75">
      <c r="B108" s="1" t="s">
        <v>63</v>
      </c>
      <c r="C108" s="1" t="s">
        <v>33</v>
      </c>
      <c r="D108" s="1" t="s">
        <v>50</v>
      </c>
      <c r="F108" s="1" t="s">
        <v>33</v>
      </c>
      <c r="G108" s="53">
        <f>G105/60*SQRT(($G$12+1)/2)+($G$12-1)/($G$12+1)*(0.23+0.11/$G$12)</f>
        <v>1.595896167809022</v>
      </c>
      <c r="I108" s="1" t="s">
        <v>52</v>
      </c>
      <c r="K108" s="1">
        <f>8*EXP(G108)/(EXP(2*G108)-2)</f>
        <v>1.7670599224775214</v>
      </c>
      <c r="R108" s="48"/>
      <c r="S108" s="27" t="s">
        <v>25</v>
      </c>
      <c r="T108" s="27">
        <f>$G$50/2</f>
        <v>0.02197220870830247</v>
      </c>
      <c r="U108" s="27" t="s">
        <v>23</v>
      </c>
      <c r="V108" s="27">
        <f>Y11+3*(U11-Y11)/4</f>
        <v>-7.969032994978797</v>
      </c>
      <c r="W108" s="27">
        <f>Z11</f>
        <v>1.6566002488825342</v>
      </c>
      <c r="X108" s="27" t="s">
        <v>22</v>
      </c>
      <c r="Y108" s="27" t="s">
        <v>23</v>
      </c>
      <c r="Z108" s="27">
        <f>Y11</f>
        <v>-7.9360746819163435</v>
      </c>
      <c r="AA108" s="27">
        <f>Z11-3*(Z11-Z28)/4</f>
        <v>1.689558561944988</v>
      </c>
      <c r="AB108" s="58" t="s">
        <v>24</v>
      </c>
    </row>
    <row r="109" spans="18:28" ht="12.75">
      <c r="R109" s="48" t="s">
        <v>216</v>
      </c>
      <c r="S109" s="27" t="s">
        <v>28</v>
      </c>
      <c r="T109" s="27" t="s">
        <v>23</v>
      </c>
      <c r="U109" s="27">
        <f>U12</f>
        <v>-6.918946180582996</v>
      </c>
      <c r="V109" s="27">
        <f>Z12</f>
        <v>1.6566002488825342</v>
      </c>
      <c r="W109" s="27" t="s">
        <v>22</v>
      </c>
      <c r="X109" s="27" t="s">
        <v>23</v>
      </c>
      <c r="Y109" s="27">
        <f>U12+(Y12-U12)/2</f>
        <v>-6.896973971874694</v>
      </c>
      <c r="Z109" s="35">
        <f>Z12+(Z28-V28)/2</f>
        <v>1.6785724575908367</v>
      </c>
      <c r="AA109" s="27" t="s">
        <v>24</v>
      </c>
      <c r="AB109" s="58"/>
    </row>
    <row r="110" spans="2:28" ht="12.75">
      <c r="B110" s="1" t="s">
        <v>95</v>
      </c>
      <c r="C110" s="1" t="s">
        <v>33</v>
      </c>
      <c r="D110" s="1" t="s">
        <v>169</v>
      </c>
      <c r="F110" s="1" t="s">
        <v>33</v>
      </c>
      <c r="G110" s="49">
        <f>IF(AND(K107&gt;2,K108&gt;2),K107*$G$18,K108*$G$18)</f>
        <v>0.0032315991862268906</v>
      </c>
      <c r="H110" s="21" t="s">
        <v>35</v>
      </c>
      <c r="R110" s="48"/>
      <c r="S110" s="27" t="s">
        <v>25</v>
      </c>
      <c r="T110" s="27">
        <f>$G$50/2</f>
        <v>0.02197220870830247</v>
      </c>
      <c r="U110" s="27" t="s">
        <v>23</v>
      </c>
      <c r="V110" s="27">
        <f>U12</f>
        <v>-6.918946180582996</v>
      </c>
      <c r="W110" s="27">
        <f>Z12-3*(Z12-Z28)/4</f>
        <v>1.689558561944988</v>
      </c>
      <c r="X110" s="27" t="s">
        <v>22</v>
      </c>
      <c r="Y110" s="27" t="s">
        <v>23</v>
      </c>
      <c r="Z110" s="27">
        <f>U12+3*(Y12-U12)/4</f>
        <v>-6.885987867520543</v>
      </c>
      <c r="AA110" s="27">
        <f>Z12</f>
        <v>1.6566002488825342</v>
      </c>
      <c r="AB110" s="58" t="s">
        <v>24</v>
      </c>
    </row>
    <row r="111" spans="2:28" ht="12.75">
      <c r="B111" s="1" t="s">
        <v>60</v>
      </c>
      <c r="C111" s="1" t="s">
        <v>33</v>
      </c>
      <c r="D111" s="1" t="s">
        <v>61</v>
      </c>
      <c r="F111" s="1" t="s">
        <v>33</v>
      </c>
      <c r="G111" s="52">
        <f>($G$12+1)/2+($G$12-1)/2/SQRT(1+12/($G$18/G110))</f>
        <v>1.7277294066212427</v>
      </c>
      <c r="R111" s="48" t="s">
        <v>62</v>
      </c>
      <c r="S111" s="27" t="s">
        <v>28</v>
      </c>
      <c r="T111" s="27" t="s">
        <v>23</v>
      </c>
      <c r="U111" s="27">
        <f>Y13+(U13-Y13)/2</f>
        <v>-5.83590105312474</v>
      </c>
      <c r="V111" s="27">
        <f>Z13-(Z13-Z29)/2</f>
        <v>1.6785724575908367</v>
      </c>
      <c r="W111" s="27" t="s">
        <v>22</v>
      </c>
      <c r="X111" s="27" t="s">
        <v>23</v>
      </c>
      <c r="Y111" s="27">
        <f>Y13</f>
        <v>-5.813928844416438</v>
      </c>
      <c r="Z111" s="35">
        <f>Z13</f>
        <v>1.6566002488825342</v>
      </c>
      <c r="AA111" s="27" t="s">
        <v>24</v>
      </c>
      <c r="AB111" s="58"/>
    </row>
    <row r="112" spans="2:28" ht="12.75">
      <c r="B112" s="1" t="s">
        <v>89</v>
      </c>
      <c r="C112" s="1" t="s">
        <v>33</v>
      </c>
      <c r="D112" s="1" t="s">
        <v>90</v>
      </c>
      <c r="F112" s="1" t="s">
        <v>33</v>
      </c>
      <c r="G112" s="49">
        <f>$M$36/SQRT(G111)</f>
        <v>0.04018990452425211</v>
      </c>
      <c r="H112" s="21" t="s">
        <v>35</v>
      </c>
      <c r="R112" s="48"/>
      <c r="S112" s="27" t="s">
        <v>25</v>
      </c>
      <c r="T112" s="27">
        <f>$G$50/2</f>
        <v>0.02197220870830247</v>
      </c>
      <c r="U112" s="27" t="s">
        <v>23</v>
      </c>
      <c r="V112" s="27">
        <f>Y13+3*(U13-Y13)/4</f>
        <v>-5.846887157478891</v>
      </c>
      <c r="W112" s="27">
        <f>Z13</f>
        <v>1.6566002488825342</v>
      </c>
      <c r="X112" s="27" t="s">
        <v>22</v>
      </c>
      <c r="Y112" s="27" t="s">
        <v>23</v>
      </c>
      <c r="Z112" s="27">
        <f>Y13</f>
        <v>-5.813928844416438</v>
      </c>
      <c r="AA112" s="27">
        <f>Z13-3*(Z13-Z29)/4</f>
        <v>1.689558561944988</v>
      </c>
      <c r="AB112" s="58" t="s">
        <v>24</v>
      </c>
    </row>
    <row r="113" spans="2:28" ht="12.75">
      <c r="B113" s="1" t="s">
        <v>119</v>
      </c>
      <c r="C113" s="1" t="s">
        <v>33</v>
      </c>
      <c r="D113" s="1" t="s">
        <v>39</v>
      </c>
      <c r="F113" s="1" t="s">
        <v>33</v>
      </c>
      <c r="G113" s="49">
        <f>G112/4</f>
        <v>0.010047476131063028</v>
      </c>
      <c r="H113" s="21" t="s">
        <v>35</v>
      </c>
      <c r="R113" s="48" t="s">
        <v>122</v>
      </c>
      <c r="S113" s="27" t="s">
        <v>28</v>
      </c>
      <c r="T113" s="27" t="s">
        <v>23</v>
      </c>
      <c r="U113" s="27">
        <f>U14</f>
        <v>-4.79680034308309</v>
      </c>
      <c r="V113" s="27">
        <f>Z14</f>
        <v>1.6566002488825342</v>
      </c>
      <c r="W113" s="27" t="s">
        <v>22</v>
      </c>
      <c r="X113" s="27" t="s">
        <v>23</v>
      </c>
      <c r="Y113" s="27">
        <f>U14+(Y14-U14)/2</f>
        <v>-4.774828134374788</v>
      </c>
      <c r="Z113" s="35">
        <f>Z14+(Z29-V29)/2</f>
        <v>1.6785724575908367</v>
      </c>
      <c r="AA113" s="27" t="s">
        <v>24</v>
      </c>
      <c r="AB113" s="58"/>
    </row>
    <row r="114" spans="7:28" ht="12.75">
      <c r="G114" s="49"/>
      <c r="R114" s="48"/>
      <c r="S114" s="27" t="s">
        <v>25</v>
      </c>
      <c r="T114" s="27">
        <f>$G$50/2</f>
        <v>0.02197220870830247</v>
      </c>
      <c r="U114" s="27" t="s">
        <v>23</v>
      </c>
      <c r="V114" s="27">
        <f>U14</f>
        <v>-4.79680034308309</v>
      </c>
      <c r="W114" s="27">
        <f>Z14-3*(Z14-Z29)/4</f>
        <v>1.689558561944988</v>
      </c>
      <c r="X114" s="27" t="s">
        <v>22</v>
      </c>
      <c r="Y114" s="27" t="s">
        <v>23</v>
      </c>
      <c r="Z114" s="27">
        <f>U14+3*(Y14-U14)/4</f>
        <v>-4.763842030020637</v>
      </c>
      <c r="AA114" s="27">
        <f>Z14</f>
        <v>1.6566002488825342</v>
      </c>
      <c r="AB114" s="58" t="s">
        <v>24</v>
      </c>
    </row>
    <row r="115" spans="1:28" ht="12.75">
      <c r="A115" s="59" t="s">
        <v>176</v>
      </c>
      <c r="R115" s="48" t="s">
        <v>178</v>
      </c>
      <c r="S115" s="27" t="s">
        <v>28</v>
      </c>
      <c r="T115" s="27" t="s">
        <v>23</v>
      </c>
      <c r="U115" s="27">
        <f>Y15+(U15-Y15)/2</f>
        <v>-3.713755215624835</v>
      </c>
      <c r="V115" s="27">
        <f>Z15-(Z15-Z30)/2</f>
        <v>1.6785724575908367</v>
      </c>
      <c r="W115" s="27" t="s">
        <v>22</v>
      </c>
      <c r="X115" s="27" t="s">
        <v>23</v>
      </c>
      <c r="Y115" s="27">
        <f>Y15</f>
        <v>-3.6917830069165323</v>
      </c>
      <c r="Z115" s="35">
        <f>Z15</f>
        <v>1.6566002488825342</v>
      </c>
      <c r="AA115" s="27" t="s">
        <v>24</v>
      </c>
      <c r="AB115" s="58"/>
    </row>
    <row r="116" spans="18:28" ht="12.75">
      <c r="R116" s="48"/>
      <c r="S116" s="27" t="s">
        <v>25</v>
      </c>
      <c r="T116" s="27">
        <f>$G$50/2</f>
        <v>0.02197220870830247</v>
      </c>
      <c r="U116" s="27" t="s">
        <v>23</v>
      </c>
      <c r="V116" s="27">
        <f>Y15+3*(U15-Y15)/4</f>
        <v>-3.7247413199789863</v>
      </c>
      <c r="W116" s="27">
        <f>Z15</f>
        <v>1.6566002488825342</v>
      </c>
      <c r="X116" s="27" t="s">
        <v>22</v>
      </c>
      <c r="Y116" s="27" t="s">
        <v>23</v>
      </c>
      <c r="Z116" s="27">
        <f>Y15</f>
        <v>-3.6917830069165323</v>
      </c>
      <c r="AA116" s="27">
        <f>Z15-3*(Z15-Z30)/4</f>
        <v>1.689558561944988</v>
      </c>
      <c r="AB116" s="58" t="s">
        <v>24</v>
      </c>
    </row>
    <row r="117" spans="2:28" ht="12.75">
      <c r="B117" s="1" t="s">
        <v>227</v>
      </c>
      <c r="C117" s="1" t="s">
        <v>33</v>
      </c>
      <c r="D117" s="1" t="s">
        <v>98</v>
      </c>
      <c r="F117" s="1" t="s">
        <v>33</v>
      </c>
      <c r="G117" s="53">
        <f>SQRT(100*G95)</f>
        <v>76.68290771382809</v>
      </c>
      <c r="H117" s="21" t="s">
        <v>99</v>
      </c>
      <c r="R117" s="48" t="s">
        <v>231</v>
      </c>
      <c r="S117" s="27" t="s">
        <v>28</v>
      </c>
      <c r="T117" s="27" t="s">
        <v>23</v>
      </c>
      <c r="U117" s="27">
        <f>U16</f>
        <v>-2.6746545055831845</v>
      </c>
      <c r="V117" s="27">
        <f>Z16</f>
        <v>1.6566002488825342</v>
      </c>
      <c r="W117" s="27" t="s">
        <v>22</v>
      </c>
      <c r="X117" s="27" t="s">
        <v>23</v>
      </c>
      <c r="Y117" s="27">
        <f>U16+(Y16-U16)/2</f>
        <v>-2.652682296874882</v>
      </c>
      <c r="Z117" s="35">
        <f>Z16+(Z30-V30)/2</f>
        <v>1.6785724575908367</v>
      </c>
      <c r="AA117" s="27" t="s">
        <v>24</v>
      </c>
      <c r="AB117" s="58"/>
    </row>
    <row r="118" spans="18:28" ht="12.75">
      <c r="R118" s="48"/>
      <c r="S118" s="27" t="s">
        <v>25</v>
      </c>
      <c r="T118" s="27">
        <f>$G$50/2</f>
        <v>0.02197220870830247</v>
      </c>
      <c r="U118" s="27" t="s">
        <v>23</v>
      </c>
      <c r="V118" s="27">
        <f>U16</f>
        <v>-2.6746545055831845</v>
      </c>
      <c r="W118" s="27">
        <f>Z16-3*(Z16-Z30)/4</f>
        <v>1.689558561944988</v>
      </c>
      <c r="X118" s="27" t="s">
        <v>22</v>
      </c>
      <c r="Y118" s="27" t="s">
        <v>23</v>
      </c>
      <c r="Z118" s="27">
        <f>U16+3*(Y16-U16)/4</f>
        <v>-2.6416961925207305</v>
      </c>
      <c r="AA118" s="27">
        <f>Z16</f>
        <v>1.6566002488825342</v>
      </c>
      <c r="AB118" s="58" t="s">
        <v>24</v>
      </c>
    </row>
    <row r="119" spans="2:28" ht="12.75">
      <c r="B119" s="1" t="s">
        <v>78</v>
      </c>
      <c r="C119" s="1" t="s">
        <v>33</v>
      </c>
      <c r="D119" s="1" t="s">
        <v>79</v>
      </c>
      <c r="F119" s="1" t="s">
        <v>33</v>
      </c>
      <c r="G119" s="53">
        <f>377*PI()/(2*G117*SQRT($G$12))</f>
        <v>5.2057844287546375</v>
      </c>
      <c r="I119" s="1" t="s">
        <v>80</v>
      </c>
      <c r="K119" s="1">
        <f>2/PI()*(G119-1-LN(2*G119-1)+($G$12-1)/(2*$G$12)*(LN(G119-1)+0.39-0.61/$G$12))</f>
        <v>1.5192796480223216</v>
      </c>
      <c r="R119" s="48" t="s">
        <v>83</v>
      </c>
      <c r="S119" s="27" t="s">
        <v>28</v>
      </c>
      <c r="T119" s="27" t="s">
        <v>23</v>
      </c>
      <c r="U119" s="27">
        <f>Y17+(U17-Y17)/2</f>
        <v>-1.5916093781249292</v>
      </c>
      <c r="V119" s="27">
        <f>Z17-(Z17-Z31)/2</f>
        <v>1.6785724575908367</v>
      </c>
      <c r="W119" s="27" t="s">
        <v>22</v>
      </c>
      <c r="X119" s="27" t="s">
        <v>23</v>
      </c>
      <c r="Y119" s="27">
        <f>Y17</f>
        <v>-1.5696371694166267</v>
      </c>
      <c r="Z119" s="35">
        <f>Z17</f>
        <v>1.6566002488825342</v>
      </c>
      <c r="AA119" s="27" t="s">
        <v>24</v>
      </c>
      <c r="AB119" s="58"/>
    </row>
    <row r="120" spans="2:28" ht="12.75">
      <c r="B120" s="1" t="s">
        <v>63</v>
      </c>
      <c r="C120" s="1" t="s">
        <v>33</v>
      </c>
      <c r="D120" s="1" t="s">
        <v>50</v>
      </c>
      <c r="F120" s="1" t="s">
        <v>33</v>
      </c>
      <c r="G120" s="53">
        <f>G117/60*SQRT(($G$12+1)/2)+($G$12-1)/($G$12+1)*(0.23+0.11/$G$12)</f>
        <v>1.7218148060283478</v>
      </c>
      <c r="I120" s="1" t="s">
        <v>52</v>
      </c>
      <c r="K120" s="1">
        <f>8*EXP(G120)/(EXP(2*G120)-2)</f>
        <v>1.527536842434281</v>
      </c>
      <c r="R120" s="48"/>
      <c r="S120" s="27" t="s">
        <v>25</v>
      </c>
      <c r="T120" s="27">
        <f>$G$50/2</f>
        <v>0.02197220870830247</v>
      </c>
      <c r="U120" s="27" t="s">
        <v>23</v>
      </c>
      <c r="V120" s="27">
        <f>Y17+3*(U17-Y17)/4</f>
        <v>-1.6025954824790805</v>
      </c>
      <c r="W120" s="27">
        <f>Z17</f>
        <v>1.6566002488825342</v>
      </c>
      <c r="X120" s="27" t="s">
        <v>22</v>
      </c>
      <c r="Y120" s="27" t="s">
        <v>23</v>
      </c>
      <c r="Z120" s="27">
        <f>Y17</f>
        <v>-1.5696371694166267</v>
      </c>
      <c r="AA120" s="27">
        <f>Z17-3*(Z17-Z31)/4</f>
        <v>1.689558561944988</v>
      </c>
      <c r="AB120" s="58" t="s">
        <v>24</v>
      </c>
    </row>
    <row r="121" spans="18:28" ht="12.75">
      <c r="R121" s="48" t="s">
        <v>145</v>
      </c>
      <c r="S121" s="27" t="s">
        <v>28</v>
      </c>
      <c r="T121" s="27" t="s">
        <v>23</v>
      </c>
      <c r="U121" s="27">
        <f>U18</f>
        <v>-0.5525086680832789</v>
      </c>
      <c r="V121" s="27">
        <f>Z18</f>
        <v>1.6566002488825342</v>
      </c>
      <c r="W121" s="27" t="s">
        <v>22</v>
      </c>
      <c r="X121" s="27" t="s">
        <v>23</v>
      </c>
      <c r="Y121" s="27">
        <f>U18+(Y18-U18)/2</f>
        <v>-0.5305364593749764</v>
      </c>
      <c r="Z121" s="35">
        <f>Z18+(Z31-V31)/2</f>
        <v>1.6785724575908367</v>
      </c>
      <c r="AA121" s="27" t="s">
        <v>24</v>
      </c>
      <c r="AB121" s="58"/>
    </row>
    <row r="122" spans="2:28" ht="12.75">
      <c r="B122" s="1" t="s">
        <v>168</v>
      </c>
      <c r="C122" s="1" t="s">
        <v>33</v>
      </c>
      <c r="D122" s="1" t="s">
        <v>169</v>
      </c>
      <c r="F122" s="1" t="s">
        <v>33</v>
      </c>
      <c r="G122" s="49">
        <f>IF(AND(K119&gt;2,K120&gt;2),K119*$G$18,K120*$G$18)</f>
        <v>0.002793559377443813</v>
      </c>
      <c r="H122" s="21" t="s">
        <v>35</v>
      </c>
      <c r="R122" s="48"/>
      <c r="S122" s="27" t="s">
        <v>25</v>
      </c>
      <c r="T122" s="27">
        <f>$G$50/2</f>
        <v>0.02197220870830247</v>
      </c>
      <c r="U122" s="27" t="s">
        <v>23</v>
      </c>
      <c r="V122" s="27">
        <f>U18</f>
        <v>-0.5525086680832789</v>
      </c>
      <c r="W122" s="27">
        <f>Z18-3*(Z18-Z31)/4</f>
        <v>1.689558561944988</v>
      </c>
      <c r="X122" s="27" t="s">
        <v>22</v>
      </c>
      <c r="Y122" s="27" t="s">
        <v>23</v>
      </c>
      <c r="Z122" s="27">
        <f>U18+3*(Y18-U18)/4</f>
        <v>-0.5195503550208251</v>
      </c>
      <c r="AA122" s="27">
        <f>Z18</f>
        <v>1.6566002488825342</v>
      </c>
      <c r="AB122" s="58" t="s">
        <v>24</v>
      </c>
    </row>
    <row r="123" spans="2:28" ht="12.75">
      <c r="B123" s="1" t="s">
        <v>60</v>
      </c>
      <c r="C123" s="1" t="s">
        <v>33</v>
      </c>
      <c r="D123" s="1" t="s">
        <v>61</v>
      </c>
      <c r="F123" s="1" t="s">
        <v>33</v>
      </c>
      <c r="G123" s="52">
        <f>($G$12+1)/2+($G$12-1)/2/SQRT(1+12/(G122/$G$18))</f>
        <v>1.8020628066793616</v>
      </c>
      <c r="R123" s="48" t="s">
        <v>201</v>
      </c>
      <c r="S123" s="27" t="s">
        <v>28</v>
      </c>
      <c r="T123" s="27" t="s">
        <v>23</v>
      </c>
      <c r="U123" s="27">
        <f>Y19+(U19-Y19)/2</f>
        <v>0.5305364593749764</v>
      </c>
      <c r="V123" s="27">
        <f>Z19-(Z19-Z32)/2</f>
        <v>1.6785724575908367</v>
      </c>
      <c r="W123" s="27" t="s">
        <v>22</v>
      </c>
      <c r="X123" s="27" t="s">
        <v>23</v>
      </c>
      <c r="Y123" s="27">
        <f>Y19</f>
        <v>0.5525086680832789</v>
      </c>
      <c r="Z123" s="35">
        <f>Z19</f>
        <v>1.6566002488825342</v>
      </c>
      <c r="AA123" s="27" t="s">
        <v>24</v>
      </c>
      <c r="AB123" s="58"/>
    </row>
    <row r="124" spans="2:28" ht="12.75">
      <c r="B124" s="1" t="s">
        <v>225</v>
      </c>
      <c r="C124" s="1" t="s">
        <v>33</v>
      </c>
      <c r="D124" s="1" t="s">
        <v>90</v>
      </c>
      <c r="F124" s="1" t="s">
        <v>33</v>
      </c>
      <c r="G124" s="49">
        <f>M36/SQRT(G123)</f>
        <v>0.0393522778062055</v>
      </c>
      <c r="H124" s="21" t="s">
        <v>35</v>
      </c>
      <c r="R124" s="48"/>
      <c r="S124" s="27" t="s">
        <v>25</v>
      </c>
      <c r="T124" s="27">
        <f>$G$50/2</f>
        <v>0.02197220870830247</v>
      </c>
      <c r="U124" s="27" t="s">
        <v>23</v>
      </c>
      <c r="V124" s="27">
        <f>Y19+3*(U19-Y19)/4</f>
        <v>0.5195503550208251</v>
      </c>
      <c r="W124" s="27">
        <f>Z19</f>
        <v>1.6566002488825342</v>
      </c>
      <c r="X124" s="27" t="s">
        <v>22</v>
      </c>
      <c r="Y124" s="27" t="s">
        <v>23</v>
      </c>
      <c r="Z124" s="27">
        <f>Y19</f>
        <v>0.5525086680832789</v>
      </c>
      <c r="AA124" s="27">
        <f>Z19-3*(Z19-Z32)/4</f>
        <v>1.689558561944988</v>
      </c>
      <c r="AB124" s="58" t="s">
        <v>24</v>
      </c>
    </row>
    <row r="125" spans="2:28" ht="12.75">
      <c r="B125" s="1" t="s">
        <v>38</v>
      </c>
      <c r="C125" s="1" t="s">
        <v>33</v>
      </c>
      <c r="D125" s="1" t="s">
        <v>39</v>
      </c>
      <c r="F125" s="1" t="s">
        <v>33</v>
      </c>
      <c r="G125" s="49">
        <f>G124/4</f>
        <v>0.009838069451551376</v>
      </c>
      <c r="H125" s="21" t="s">
        <v>35</v>
      </c>
      <c r="R125" s="48" t="s">
        <v>42</v>
      </c>
      <c r="S125" s="27" t="s">
        <v>28</v>
      </c>
      <c r="T125" s="27" t="s">
        <v>23</v>
      </c>
      <c r="U125" s="27">
        <f>U20</f>
        <v>1.5696371694166267</v>
      </c>
      <c r="V125" s="27">
        <f>Z20</f>
        <v>1.6566002488825342</v>
      </c>
      <c r="W125" s="27" t="s">
        <v>22</v>
      </c>
      <c r="X125" s="27" t="s">
        <v>23</v>
      </c>
      <c r="Y125" s="27">
        <f>U20+(Y20-U20)/2</f>
        <v>1.5916093781249292</v>
      </c>
      <c r="Z125" s="35">
        <f>Z20+(Z32-V32)/2</f>
        <v>1.6785724575908367</v>
      </c>
      <c r="AA125" s="27" t="s">
        <v>24</v>
      </c>
      <c r="AB125" s="58"/>
    </row>
    <row r="126" spans="18:28" ht="12.75">
      <c r="R126" s="48"/>
      <c r="S126" s="27" t="s">
        <v>25</v>
      </c>
      <c r="T126" s="27">
        <f>$G$50/2</f>
        <v>0.02197220870830247</v>
      </c>
      <c r="U126" s="27" t="s">
        <v>23</v>
      </c>
      <c r="V126" s="27">
        <f>U20</f>
        <v>1.5696371694166267</v>
      </c>
      <c r="W126" s="27">
        <f>Z20-3*(Z20-Z32)/4</f>
        <v>1.689558561944988</v>
      </c>
      <c r="X126" s="27" t="s">
        <v>22</v>
      </c>
      <c r="Y126" s="27" t="s">
        <v>23</v>
      </c>
      <c r="Z126" s="27">
        <f>U20+3*(Y20-U20)/4</f>
        <v>1.6025954824790805</v>
      </c>
      <c r="AA126" s="27">
        <f>Z20</f>
        <v>1.6566002488825342</v>
      </c>
      <c r="AB126" s="58" t="s">
        <v>24</v>
      </c>
    </row>
    <row r="127" spans="1:28" ht="12.75">
      <c r="A127" s="8"/>
      <c r="B127" s="8" t="s">
        <v>101</v>
      </c>
      <c r="C127" s="8"/>
      <c r="D127" s="8"/>
      <c r="E127" s="8"/>
      <c r="F127" s="8"/>
      <c r="G127" s="8"/>
      <c r="H127" s="16"/>
      <c r="I127" s="8"/>
      <c r="J127" s="8"/>
      <c r="K127" s="8"/>
      <c r="L127" s="8"/>
      <c r="M127" s="8"/>
      <c r="N127" s="8"/>
      <c r="O127" s="8"/>
      <c r="P127" s="8"/>
      <c r="R127" s="48" t="s">
        <v>104</v>
      </c>
      <c r="S127" s="27" t="s">
        <v>28</v>
      </c>
      <c r="T127" s="27" t="s">
        <v>23</v>
      </c>
      <c r="U127" s="27">
        <f>Y21+(U21-Y21)/2</f>
        <v>2.652682296874882</v>
      </c>
      <c r="V127" s="27">
        <f>Z21-(Z21-Z33)/2</f>
        <v>1.6785724575908367</v>
      </c>
      <c r="W127" s="27" t="s">
        <v>22</v>
      </c>
      <c r="X127" s="27" t="s">
        <v>23</v>
      </c>
      <c r="Y127" s="27">
        <f>Y21</f>
        <v>2.6746545055831845</v>
      </c>
      <c r="Z127" s="35">
        <f>Z21</f>
        <v>1.6566002488825342</v>
      </c>
      <c r="AA127" s="27" t="s">
        <v>24</v>
      </c>
      <c r="AB127" s="58"/>
    </row>
    <row r="128" spans="18:28" ht="12.75">
      <c r="R128" s="48"/>
      <c r="S128" s="27" t="s">
        <v>25</v>
      </c>
      <c r="T128" s="27">
        <f>$G$50/2</f>
        <v>0.02197220870830247</v>
      </c>
      <c r="U128" s="27" t="s">
        <v>23</v>
      </c>
      <c r="V128" s="27">
        <f>Y21+3*(U21-Y21)/4</f>
        <v>2.6416961925207305</v>
      </c>
      <c r="W128" s="27">
        <f>Z21</f>
        <v>1.6566002488825342</v>
      </c>
      <c r="X128" s="27" t="s">
        <v>22</v>
      </c>
      <c r="Y128" s="27" t="s">
        <v>23</v>
      </c>
      <c r="Z128" s="27">
        <f>Y21</f>
        <v>2.6746545055831845</v>
      </c>
      <c r="AA128" s="27">
        <f>Z21-3*(Z21-Z33)/4</f>
        <v>1.689558561944988</v>
      </c>
      <c r="AB128" s="58" t="s">
        <v>24</v>
      </c>
    </row>
    <row r="129" spans="2:28" ht="12.75">
      <c r="B129" s="9">
        <f>B135*B132/(2*B131*SQRT(B130))</f>
        <v>0.016169646321616365</v>
      </c>
      <c r="D129" s="9" t="s">
        <v>161</v>
      </c>
      <c r="R129" s="48" t="s">
        <v>164</v>
      </c>
      <c r="S129" s="27" t="s">
        <v>28</v>
      </c>
      <c r="T129" s="27" t="s">
        <v>23</v>
      </c>
      <c r="U129" s="27">
        <f>U22</f>
        <v>3.6917830069165323</v>
      </c>
      <c r="V129" s="27">
        <f>Z22</f>
        <v>1.6566002488825342</v>
      </c>
      <c r="W129" s="27" t="s">
        <v>22</v>
      </c>
      <c r="X129" s="27" t="s">
        <v>23</v>
      </c>
      <c r="Y129" s="27">
        <f>U22+(Y22-U22)/2</f>
        <v>3.713755215624835</v>
      </c>
      <c r="Z129" s="35">
        <f>Z22+(Z33-V33)/2</f>
        <v>1.6785724575908367</v>
      </c>
      <c r="AA129" s="27" t="s">
        <v>24</v>
      </c>
      <c r="AB129" s="58"/>
    </row>
    <row r="130" spans="2:28" ht="12.75">
      <c r="B130" s="9">
        <f>$G$12</f>
        <v>2.20066</v>
      </c>
      <c r="D130" s="9" t="s">
        <v>192</v>
      </c>
      <c r="R130" s="48"/>
      <c r="S130" s="27" t="s">
        <v>25</v>
      </c>
      <c r="T130" s="27">
        <f>$G$50/2</f>
        <v>0.02197220870830247</v>
      </c>
      <c r="U130" s="27" t="s">
        <v>23</v>
      </c>
      <c r="V130" s="27">
        <f>U22</f>
        <v>3.6917830069165323</v>
      </c>
      <c r="W130" s="27">
        <f>Z22-3*(Z22-Z33)/4</f>
        <v>1.689558561944988</v>
      </c>
      <c r="X130" s="27" t="s">
        <v>22</v>
      </c>
      <c r="Y130" s="27" t="s">
        <v>23</v>
      </c>
      <c r="Z130" s="27">
        <f>U22+3*(Y22-U22)/4</f>
        <v>3.7247413199789863</v>
      </c>
      <c r="AA130" s="27">
        <f>Z22</f>
        <v>1.6566002488825342</v>
      </c>
      <c r="AB130" s="58" t="s">
        <v>24</v>
      </c>
    </row>
    <row r="131" spans="2:28" ht="12.75">
      <c r="B131" s="9">
        <f>PI()</f>
        <v>3.141592653589793</v>
      </c>
      <c r="D131" s="9" t="s">
        <v>219</v>
      </c>
      <c r="R131" s="48" t="s">
        <v>222</v>
      </c>
      <c r="S131" s="27" t="s">
        <v>28</v>
      </c>
      <c r="T131" s="27" t="s">
        <v>23</v>
      </c>
      <c r="U131" s="27">
        <f>Y23+(U23-Y23)/2</f>
        <v>4.774828134374788</v>
      </c>
      <c r="V131" s="27">
        <f>Z23-(Z23-Z34)/2</f>
        <v>1.6785724575908367</v>
      </c>
      <c r="W131" s="27" t="s">
        <v>22</v>
      </c>
      <c r="X131" s="27" t="s">
        <v>23</v>
      </c>
      <c r="Y131" s="27">
        <f>Y23</f>
        <v>4.79680034308309</v>
      </c>
      <c r="Z131" s="35">
        <f>Z23</f>
        <v>1.6566002488825342</v>
      </c>
      <c r="AA131" s="27" t="s">
        <v>24</v>
      </c>
      <c r="AB131" s="58"/>
    </row>
    <row r="132" spans="2:28" ht="12.75">
      <c r="B132" s="9">
        <f>B133/B134</f>
        <v>0.052826864845814975</v>
      </c>
      <c r="D132" s="9" t="s">
        <v>29</v>
      </c>
      <c r="R132" s="48"/>
      <c r="S132" s="27" t="s">
        <v>25</v>
      </c>
      <c r="T132" s="27">
        <f>$G$50/2</f>
        <v>0.02197220870830247</v>
      </c>
      <c r="U132" s="27" t="s">
        <v>23</v>
      </c>
      <c r="V132" s="27">
        <f>Y23+3*(U23-Y23)/4</f>
        <v>4.763842030020637</v>
      </c>
      <c r="W132" s="27">
        <f>Z23</f>
        <v>1.6566002488825342</v>
      </c>
      <c r="X132" s="27" t="s">
        <v>22</v>
      </c>
      <c r="Y132" s="27" t="s">
        <v>23</v>
      </c>
      <c r="Z132" s="27">
        <f>Y23</f>
        <v>4.79680034308309</v>
      </c>
      <c r="AA132" s="27">
        <f>Z23-3*(Z23-Z34)/4</f>
        <v>1.689558561944988</v>
      </c>
      <c r="AB132" s="58" t="s">
        <v>24</v>
      </c>
    </row>
    <row r="133" spans="2:28" ht="12.75">
      <c r="B133" s="9">
        <v>299792458</v>
      </c>
      <c r="D133" s="9" t="s">
        <v>68</v>
      </c>
      <c r="R133" s="48" t="s">
        <v>71</v>
      </c>
      <c r="S133" s="27" t="s">
        <v>28</v>
      </c>
      <c r="T133" s="27" t="s">
        <v>23</v>
      </c>
      <c r="U133" s="27">
        <f>U24</f>
        <v>5.813928844416438</v>
      </c>
      <c r="V133" s="27">
        <f>Z24</f>
        <v>1.6566002488825342</v>
      </c>
      <c r="W133" s="27" t="s">
        <v>22</v>
      </c>
      <c r="X133" s="27" t="s">
        <v>23</v>
      </c>
      <c r="Y133" s="27">
        <f>U24+(Y24-U24)/2</f>
        <v>5.83590105312474</v>
      </c>
      <c r="Z133" s="35">
        <f>Z24+(Z34-V34)/2</f>
        <v>1.6785724575908367</v>
      </c>
      <c r="AA133" s="27" t="s">
        <v>24</v>
      </c>
      <c r="AB133" s="58"/>
    </row>
    <row r="134" spans="2:28" ht="12.75">
      <c r="B134" s="18">
        <f>$G$13</f>
        <v>5675000000</v>
      </c>
      <c r="D134" s="9" t="s">
        <v>97</v>
      </c>
      <c r="R134" s="48"/>
      <c r="S134" s="27" t="s">
        <v>25</v>
      </c>
      <c r="T134" s="27">
        <f>$G$50/2</f>
        <v>0.02197220870830247</v>
      </c>
      <c r="U134" s="27" t="s">
        <v>23</v>
      </c>
      <c r="V134" s="27">
        <f>U24</f>
        <v>5.813928844416438</v>
      </c>
      <c r="W134" s="27">
        <f>Z24-3*(Z24-Z34)/4</f>
        <v>1.689558561944988</v>
      </c>
      <c r="X134" s="27" t="s">
        <v>22</v>
      </c>
      <c r="Y134" s="27" t="s">
        <v>23</v>
      </c>
      <c r="Z134" s="27">
        <f>U24+3*(Y24-U24)/4</f>
        <v>5.846887157478891</v>
      </c>
      <c r="AA134" s="27">
        <f>Z24</f>
        <v>1.6566002488825342</v>
      </c>
      <c r="AB134" s="58" t="s">
        <v>24</v>
      </c>
    </row>
    <row r="135" spans="2:28" ht="12.75">
      <c r="B135" s="9">
        <f>ACOS((B140*B140+B136*B136-1/(B142*B142))/SQRT((B140*B140+B136*B136)^2+1/B142^4+2*(B140-B136)*(B140+B136)/(B142*B142)))</f>
        <v>2.853001676130534</v>
      </c>
      <c r="D135" s="9" t="s">
        <v>128</v>
      </c>
      <c r="R135" s="48" t="s">
        <v>132</v>
      </c>
      <c r="S135" s="27" t="s">
        <v>28</v>
      </c>
      <c r="T135" s="27" t="s">
        <v>23</v>
      </c>
      <c r="U135" s="27">
        <f>Y25+(U25-Y25)/2</f>
        <v>6.896973971874694</v>
      </c>
      <c r="V135" s="27">
        <f>Z25-(Z25-Z35)/2</f>
        <v>1.6785724575908367</v>
      </c>
      <c r="W135" s="27" t="s">
        <v>22</v>
      </c>
      <c r="X135" s="27" t="s">
        <v>23</v>
      </c>
      <c r="Y135" s="27">
        <f>Y25</f>
        <v>6.918946180582996</v>
      </c>
      <c r="Z135" s="35">
        <f>Z25</f>
        <v>1.6566002488825342</v>
      </c>
      <c r="AA135" s="27" t="s">
        <v>24</v>
      </c>
      <c r="AB135" s="58"/>
    </row>
    <row r="136" spans="2:28" ht="12.75">
      <c r="B136" s="9">
        <f>B137/(120*B132)</f>
        <v>0.06711778984312286</v>
      </c>
      <c r="D136" s="9" t="s">
        <v>154</v>
      </c>
      <c r="R136" s="48"/>
      <c r="S136" s="27" t="s">
        <v>25</v>
      </c>
      <c r="T136" s="27">
        <f>$G$50/2</f>
        <v>0.02197220870830247</v>
      </c>
      <c r="U136" s="27" t="s">
        <v>23</v>
      </c>
      <c r="V136" s="27">
        <f>Y25+3*(U25-Y25)/4</f>
        <v>6.885987867520543</v>
      </c>
      <c r="W136" s="27">
        <f>Z25</f>
        <v>1.6566002488825342</v>
      </c>
      <c r="X136" s="27" t="s">
        <v>22</v>
      </c>
      <c r="Y136" s="27" t="s">
        <v>23</v>
      </c>
      <c r="Z136" s="27">
        <f>Y25</f>
        <v>6.918946180582996</v>
      </c>
      <c r="AA136" s="27">
        <f>Z25-3*(Z25-Z35)/4</f>
        <v>1.689558561944988</v>
      </c>
      <c r="AB136" s="58" t="s">
        <v>24</v>
      </c>
    </row>
    <row r="137" spans="2:28" ht="12.75">
      <c r="B137" s="9">
        <f>B131*(B138+B139)</f>
        <v>0.4254746895350957</v>
      </c>
      <c r="D137" s="9" t="s">
        <v>184</v>
      </c>
      <c r="R137" s="48" t="s">
        <v>187</v>
      </c>
      <c r="S137" s="27" t="s">
        <v>28</v>
      </c>
      <c r="T137" s="27" t="s">
        <v>23</v>
      </c>
      <c r="U137" s="27">
        <f>U26</f>
        <v>7.9360746819163435</v>
      </c>
      <c r="V137" s="27">
        <f>Z26</f>
        <v>1.6566002488825342</v>
      </c>
      <c r="W137" s="27" t="s">
        <v>22</v>
      </c>
      <c r="X137" s="27" t="s">
        <v>23</v>
      </c>
      <c r="Y137" s="27">
        <f>U26+(Y26-U26)/2</f>
        <v>7.9580468906246455</v>
      </c>
      <c r="Z137" s="35">
        <f>Z26+(Z35-V35)/2</f>
        <v>1.6785724575908367</v>
      </c>
      <c r="AA137" s="27" t="s">
        <v>24</v>
      </c>
      <c r="AB137" s="58"/>
    </row>
    <row r="138" spans="2:28" ht="12.75">
      <c r="B138" s="33">
        <f>$G$16</f>
        <v>0.13335</v>
      </c>
      <c r="D138" s="9" t="s">
        <v>215</v>
      </c>
      <c r="R138" s="48"/>
      <c r="S138" s="27" t="s">
        <v>25</v>
      </c>
      <c r="T138" s="27">
        <f>$G$50/2</f>
        <v>0.02197220870830247</v>
      </c>
      <c r="U138" s="27" t="s">
        <v>23</v>
      </c>
      <c r="V138" s="27">
        <f>U26</f>
        <v>7.9360746819163435</v>
      </c>
      <c r="W138" s="27">
        <f>Z26-3*(Z26-Z35)/4</f>
        <v>1.689558561944988</v>
      </c>
      <c r="X138" s="27" t="s">
        <v>22</v>
      </c>
      <c r="Y138" s="27" t="s">
        <v>23</v>
      </c>
      <c r="Z138" s="27">
        <f>U26+3*(Y26-U26)/4</f>
        <v>7.969032994978797</v>
      </c>
      <c r="AA138" s="27">
        <f>Z26</f>
        <v>1.6566002488825342</v>
      </c>
      <c r="AB138" s="58" t="s">
        <v>24</v>
      </c>
    </row>
    <row r="139" spans="2:28" ht="12.75">
      <c r="B139" s="38">
        <f>$G$17+$G$18+$G$20</f>
        <v>0.0020827999999999997</v>
      </c>
      <c r="D139" s="9" t="s">
        <v>234</v>
      </c>
      <c r="S139" s="27"/>
      <c r="T139" s="27"/>
      <c r="U139" s="27"/>
      <c r="V139" s="27"/>
      <c r="W139" s="27"/>
      <c r="X139" s="27"/>
      <c r="Y139" s="27"/>
      <c r="Z139" s="27"/>
      <c r="AA139" s="27"/>
      <c r="AB139" s="58"/>
    </row>
    <row r="140" spans="2:28" ht="12.75">
      <c r="B140" s="9">
        <f>B137/(120*B131*B132)*(-0.540754132818691-2*LN(B134*B141/B133))</f>
        <v>0.13215855231756105</v>
      </c>
      <c r="D140" s="9" t="s">
        <v>54</v>
      </c>
      <c r="R140" s="48" t="s">
        <v>57</v>
      </c>
      <c r="S140" s="27" t="s">
        <v>28</v>
      </c>
      <c r="T140" s="27" t="s">
        <v>23</v>
      </c>
      <c r="U140" s="27">
        <f>Y37+(U37-Y37)/2</f>
        <v>-7.42751043124967</v>
      </c>
      <c r="V140" s="27">
        <f>Z37-(Z37-Z46)/2</f>
        <v>2.1468685499622837</v>
      </c>
      <c r="W140" s="27" t="s">
        <v>22</v>
      </c>
      <c r="X140" s="27" t="s">
        <v>23</v>
      </c>
      <c r="Y140" s="27">
        <f>Y37</f>
        <v>-7.341186547586525</v>
      </c>
      <c r="Z140" s="35">
        <f>Z37</f>
        <v>2.060544666299139</v>
      </c>
      <c r="AA140" s="27" t="s">
        <v>24</v>
      </c>
      <c r="AB140" s="58"/>
    </row>
    <row r="141" spans="2:28" ht="12.75">
      <c r="B141" s="33">
        <f>$G$18</f>
        <v>0.0018287999999999998</v>
      </c>
      <c r="D141" s="9" t="s">
        <v>85</v>
      </c>
      <c r="R141" s="48"/>
      <c r="S141" s="27" t="s">
        <v>25</v>
      </c>
      <c r="T141" s="27">
        <f>$G$51/2</f>
        <v>0.08632388366314453</v>
      </c>
      <c r="U141" s="27" t="s">
        <v>23</v>
      </c>
      <c r="V141" s="27">
        <f>Y37+3*(U37-Y37)/4</f>
        <v>-7.470672373081242</v>
      </c>
      <c r="W141" s="27">
        <f>Z37</f>
        <v>2.060544666299139</v>
      </c>
      <c r="X141" s="27" t="s">
        <v>22</v>
      </c>
      <c r="Y141" s="27" t="s">
        <v>23</v>
      </c>
      <c r="Z141" s="27">
        <f>Y37</f>
        <v>-7.341186547586525</v>
      </c>
      <c r="AA141" s="27">
        <f>Z37-3*(Z37-Z46)/4</f>
        <v>2.190030491793856</v>
      </c>
      <c r="AB141" s="58" t="s">
        <v>24</v>
      </c>
    </row>
    <row r="142" spans="2:28" ht="12.75">
      <c r="B142" s="9">
        <f>SQRT(B143/B144)*LN(1+2*B141/B138)/(2*B131)</f>
        <v>1.0936751481280127</v>
      </c>
      <c r="D142" s="9" t="s">
        <v>117</v>
      </c>
      <c r="R142" s="48" t="s">
        <v>118</v>
      </c>
      <c r="S142" s="27" t="s">
        <v>28</v>
      </c>
      <c r="T142" s="27" t="s">
        <v>23</v>
      </c>
      <c r="U142" s="27">
        <f>U38</f>
        <v>-5.391688477412909</v>
      </c>
      <c r="V142" s="27">
        <f>Z38</f>
        <v>2.060544666299139</v>
      </c>
      <c r="W142" s="27" t="s">
        <v>22</v>
      </c>
      <c r="X142" s="27" t="s">
        <v>23</v>
      </c>
      <c r="Y142" s="27">
        <f>U38+(Y38-U38)/2</f>
        <v>-5.305364593749764</v>
      </c>
      <c r="Z142" s="35">
        <f>Z38+(Z47-V47)/2</f>
        <v>2.1468685499622837</v>
      </c>
      <c r="AA142" s="27" t="s">
        <v>24</v>
      </c>
      <c r="AB142" s="58"/>
    </row>
    <row r="143" spans="2:28" ht="12.75">
      <c r="B143" s="9">
        <f>B145</f>
        <v>1.2566370614359173E-06</v>
      </c>
      <c r="D143" s="9" t="s">
        <v>151</v>
      </c>
      <c r="R143" s="48"/>
      <c r="S143" s="27" t="s">
        <v>25</v>
      </c>
      <c r="T143" s="27">
        <f>$G$51/2</f>
        <v>0.08632388366314453</v>
      </c>
      <c r="U143" s="27" t="s">
        <v>23</v>
      </c>
      <c r="V143" s="27">
        <f>U38</f>
        <v>-5.391688477412909</v>
      </c>
      <c r="W143" s="27">
        <f>Z38+3*(Z47-Z38)/4</f>
        <v>2.190030491793856</v>
      </c>
      <c r="X143" s="27" t="s">
        <v>22</v>
      </c>
      <c r="Y143" s="27" t="s">
        <v>23</v>
      </c>
      <c r="Z143" s="27">
        <f>U38+3*(Y38-U38)/4</f>
        <v>-5.262202651918192</v>
      </c>
      <c r="AA143" s="27">
        <f>Z38</f>
        <v>2.060544666299139</v>
      </c>
      <c r="AB143" s="58" t="s">
        <v>24</v>
      </c>
    </row>
    <row r="144" spans="2:28" ht="12.75">
      <c r="B144" s="9">
        <f>B130/(B145*B133*B133)</f>
        <v>1.9485056962724487E-11</v>
      </c>
      <c r="D144" s="9" t="s">
        <v>174</v>
      </c>
      <c r="R144" s="48" t="s">
        <v>175</v>
      </c>
      <c r="S144" s="27" t="s">
        <v>28</v>
      </c>
      <c r="T144" s="27" t="s">
        <v>23</v>
      </c>
      <c r="U144" s="27">
        <f>Y39+(U39-Y39)/2</f>
        <v>-3.1832187562498584</v>
      </c>
      <c r="V144" s="27">
        <f>Z39-(Z39-Z48)/2</f>
        <v>2.1468685499622837</v>
      </c>
      <c r="W144" s="27" t="s">
        <v>22</v>
      </c>
      <c r="X144" s="27" t="s">
        <v>23</v>
      </c>
      <c r="Y144" s="27">
        <f>Y39</f>
        <v>-3.096894872586714</v>
      </c>
      <c r="Z144" s="35">
        <f>Z39</f>
        <v>2.060544666299139</v>
      </c>
      <c r="AA144" s="27" t="s">
        <v>24</v>
      </c>
      <c r="AB144" s="58"/>
    </row>
    <row r="145" spans="2:28" ht="12.75">
      <c r="B145" s="9">
        <f>B131/2500000</f>
        <v>1.2566370614359173E-06</v>
      </c>
      <c r="D145" s="9" t="s">
        <v>206</v>
      </c>
      <c r="R145" s="48"/>
      <c r="S145" s="27" t="s">
        <v>25</v>
      </c>
      <c r="T145" s="27">
        <f>$G$51/2</f>
        <v>0.08632388366314453</v>
      </c>
      <c r="U145" s="27" t="s">
        <v>23</v>
      </c>
      <c r="V145" s="27">
        <f>Y39+3*(U39-Y39)/4</f>
        <v>-3.2263806980814307</v>
      </c>
      <c r="W145" s="27">
        <f>Z39</f>
        <v>2.060544666299139</v>
      </c>
      <c r="X145" s="27" t="s">
        <v>22</v>
      </c>
      <c r="Y145" s="27" t="s">
        <v>23</v>
      </c>
      <c r="Z145" s="27">
        <f>Y39</f>
        <v>-3.096894872586714</v>
      </c>
      <c r="AA145" s="27">
        <f>Z39-3*(Z39-Z48)/4</f>
        <v>2.190030491793856</v>
      </c>
      <c r="AB145" s="58" t="s">
        <v>24</v>
      </c>
    </row>
    <row r="146" spans="18:28" ht="12.75">
      <c r="R146" s="48" t="s">
        <v>226</v>
      </c>
      <c r="S146" s="27" t="s">
        <v>28</v>
      </c>
      <c r="T146" s="27" t="s">
        <v>23</v>
      </c>
      <c r="U146" s="27">
        <f>U40</f>
        <v>-1.1473968024130974</v>
      </c>
      <c r="V146" s="27">
        <f>Z40</f>
        <v>2.060544666299139</v>
      </c>
      <c r="W146" s="27" t="s">
        <v>22</v>
      </c>
      <c r="X146" s="27" t="s">
        <v>23</v>
      </c>
      <c r="Y146" s="27">
        <f>U40+(Y40-U40)/2</f>
        <v>-1.0610729187499528</v>
      </c>
      <c r="Z146" s="35">
        <f>Z40+(Z49-V49)/2</f>
        <v>2.1468685499622837</v>
      </c>
      <c r="AA146" s="27" t="s">
        <v>24</v>
      </c>
      <c r="AB146" s="58"/>
    </row>
    <row r="147" spans="18:28" ht="12.75">
      <c r="R147" s="48"/>
      <c r="S147" s="27" t="s">
        <v>25</v>
      </c>
      <c r="T147" s="27">
        <f>$G$51/2</f>
        <v>0.08632388366314453</v>
      </c>
      <c r="U147" s="27" t="s">
        <v>23</v>
      </c>
      <c r="V147" s="27">
        <f>U40</f>
        <v>-1.1473968024130974</v>
      </c>
      <c r="W147" s="27">
        <f>Z40+3*(Z49-Z40)/4</f>
        <v>2.190030491793856</v>
      </c>
      <c r="X147" s="27" t="s">
        <v>22</v>
      </c>
      <c r="Y147" s="27" t="s">
        <v>23</v>
      </c>
      <c r="Z147" s="27">
        <f>U40+3*(Y40-U40)/4</f>
        <v>-1.0179109769183805</v>
      </c>
      <c r="AA147" s="27">
        <f>Z40</f>
        <v>2.060544666299139</v>
      </c>
      <c r="AB147" s="58" t="s">
        <v>24</v>
      </c>
    </row>
    <row r="148" spans="18:28" ht="12.75">
      <c r="R148" s="48" t="s">
        <v>81</v>
      </c>
      <c r="S148" s="27" t="s">
        <v>28</v>
      </c>
      <c r="T148" s="27" t="s">
        <v>23</v>
      </c>
      <c r="U148" s="27">
        <f>Y41+(U41-Y41)/2</f>
        <v>1.0610729187499528</v>
      </c>
      <c r="V148" s="27">
        <f>Z41-(Z41-Z50)/2</f>
        <v>2.1468685499622837</v>
      </c>
      <c r="W148" s="27" t="s">
        <v>22</v>
      </c>
      <c r="X148" s="27" t="s">
        <v>23</v>
      </c>
      <c r="Y148" s="27">
        <f>Y41</f>
        <v>1.1473968024130974</v>
      </c>
      <c r="Z148" s="35">
        <f>Z41</f>
        <v>2.060544666299139</v>
      </c>
      <c r="AA148" s="27" t="s">
        <v>24</v>
      </c>
      <c r="AB148" s="58"/>
    </row>
    <row r="149" spans="18:28" ht="12.75">
      <c r="R149" s="48"/>
      <c r="S149" s="27" t="s">
        <v>25</v>
      </c>
      <c r="T149" s="27">
        <f>$G$51/2</f>
        <v>0.08632388366314453</v>
      </c>
      <c r="U149" s="27" t="s">
        <v>23</v>
      </c>
      <c r="V149" s="27">
        <f>Y41+3*(U41-Y41)/4</f>
        <v>1.0179109769183805</v>
      </c>
      <c r="W149" s="27">
        <f>Z41</f>
        <v>2.060544666299139</v>
      </c>
      <c r="X149" s="27" t="s">
        <v>22</v>
      </c>
      <c r="Y149" s="27" t="s">
        <v>23</v>
      </c>
      <c r="Z149" s="27">
        <f>Y41</f>
        <v>1.1473968024130974</v>
      </c>
      <c r="AA149" s="27">
        <f>Z41-3*(Z41-Z50)/4</f>
        <v>2.190030491793856</v>
      </c>
      <c r="AB149" s="58" t="s">
        <v>24</v>
      </c>
    </row>
    <row r="150" spans="18:28" ht="12.75">
      <c r="R150" s="48" t="s">
        <v>142</v>
      </c>
      <c r="S150" s="27" t="s">
        <v>28</v>
      </c>
      <c r="T150" s="27" t="s">
        <v>23</v>
      </c>
      <c r="U150" s="27">
        <f>U42</f>
        <v>3.096894872586714</v>
      </c>
      <c r="V150" s="27">
        <f>Z42</f>
        <v>2.060544666299139</v>
      </c>
      <c r="W150" s="27" t="s">
        <v>22</v>
      </c>
      <c r="X150" s="27" t="s">
        <v>23</v>
      </c>
      <c r="Y150" s="27">
        <f>U42+(Y42-U42)/2</f>
        <v>3.1832187562498584</v>
      </c>
      <c r="Z150" s="35">
        <f>Z42+(Z51-V51)/2</f>
        <v>2.1468685499622837</v>
      </c>
      <c r="AA150" s="27" t="s">
        <v>24</v>
      </c>
      <c r="AB150" s="58"/>
    </row>
    <row r="151" spans="18:28" ht="12.75">
      <c r="R151" s="48"/>
      <c r="S151" s="27" t="s">
        <v>25</v>
      </c>
      <c r="T151" s="27">
        <f>$G$51/2</f>
        <v>0.08632388366314453</v>
      </c>
      <c r="U151" s="27" t="s">
        <v>23</v>
      </c>
      <c r="V151" s="27">
        <f>U42</f>
        <v>3.096894872586714</v>
      </c>
      <c r="W151" s="27">
        <f>Z42+3*(Z51-Z42)/4</f>
        <v>2.190030491793856</v>
      </c>
      <c r="X151" s="27" t="s">
        <v>22</v>
      </c>
      <c r="Y151" s="27" t="s">
        <v>23</v>
      </c>
      <c r="Z151" s="27">
        <f>U42+3*(Y42-U42)/4</f>
        <v>3.2263806980814307</v>
      </c>
      <c r="AA151" s="27">
        <f>Z42</f>
        <v>2.060544666299139</v>
      </c>
      <c r="AB151" s="58" t="s">
        <v>24</v>
      </c>
    </row>
    <row r="152" spans="18:28" ht="12.75">
      <c r="R152" s="48" t="s">
        <v>197</v>
      </c>
      <c r="S152" s="27" t="s">
        <v>28</v>
      </c>
      <c r="T152" s="27" t="s">
        <v>23</v>
      </c>
      <c r="U152" s="27">
        <f>Y43+(U43-Y43)/2</f>
        <v>5.305364593749764</v>
      </c>
      <c r="V152" s="27">
        <f>Z43-(Z43-Z52)/2</f>
        <v>2.1468685499622837</v>
      </c>
      <c r="W152" s="27" t="s">
        <v>22</v>
      </c>
      <c r="X152" s="27" t="s">
        <v>23</v>
      </c>
      <c r="Y152" s="27">
        <f>Y43</f>
        <v>5.391688477412909</v>
      </c>
      <c r="Z152" s="35">
        <f>Z43</f>
        <v>2.060544666299139</v>
      </c>
      <c r="AA152" s="27" t="s">
        <v>24</v>
      </c>
      <c r="AB152" s="58"/>
    </row>
    <row r="153" spans="18:28" ht="12.75">
      <c r="R153" s="48"/>
      <c r="S153" s="27" t="s">
        <v>25</v>
      </c>
      <c r="T153" s="27">
        <f>$G$51/2</f>
        <v>0.08632388366314453</v>
      </c>
      <c r="U153" s="27" t="s">
        <v>23</v>
      </c>
      <c r="V153" s="27">
        <f>Y43+3*(U43-Y43)/4</f>
        <v>5.262202651918192</v>
      </c>
      <c r="W153" s="27">
        <f>Z43</f>
        <v>2.060544666299139</v>
      </c>
      <c r="X153" s="27" t="s">
        <v>22</v>
      </c>
      <c r="Y153" s="27" t="s">
        <v>23</v>
      </c>
      <c r="Z153" s="27">
        <f>Y43</f>
        <v>5.391688477412909</v>
      </c>
      <c r="AA153" s="27">
        <f>Z43-3*(Z43-Z52)/4</f>
        <v>2.190030491793856</v>
      </c>
      <c r="AB153" s="58" t="s">
        <v>24</v>
      </c>
    </row>
    <row r="154" spans="18:28" ht="12.75">
      <c r="R154" s="48" t="s">
        <v>37</v>
      </c>
      <c r="S154" s="27" t="s">
        <v>28</v>
      </c>
      <c r="T154" s="27" t="s">
        <v>23</v>
      </c>
      <c r="U154" s="27">
        <f>U44</f>
        <v>7.341186547586525</v>
      </c>
      <c r="V154" s="27">
        <f>Z44</f>
        <v>2.060544666299139</v>
      </c>
      <c r="W154" s="27" t="s">
        <v>22</v>
      </c>
      <c r="X154" s="27" t="s">
        <v>23</v>
      </c>
      <c r="Y154" s="27">
        <f>U44+(Y44-U44)/2</f>
        <v>7.42751043124967</v>
      </c>
      <c r="Z154" s="35">
        <f>Z44+(Z53-V53)/2</f>
        <v>2.1468685499622837</v>
      </c>
      <c r="AA154" s="27" t="s">
        <v>24</v>
      </c>
      <c r="AB154" s="58"/>
    </row>
    <row r="155" spans="18:28" ht="12.75">
      <c r="R155" s="48"/>
      <c r="S155" s="27" t="s">
        <v>25</v>
      </c>
      <c r="T155" s="27">
        <f>$G$51/2</f>
        <v>0.08632388366314453</v>
      </c>
      <c r="U155" s="27" t="s">
        <v>23</v>
      </c>
      <c r="V155" s="27">
        <f>U44</f>
        <v>7.341186547586525</v>
      </c>
      <c r="W155" s="27">
        <f>Z44+3*(Z53-Z44)/4</f>
        <v>2.190030491793856</v>
      </c>
      <c r="X155" s="27" t="s">
        <v>22</v>
      </c>
      <c r="Y155" s="27" t="s">
        <v>23</v>
      </c>
      <c r="Z155" s="27">
        <f>U44+3*(Y44-U44)/4</f>
        <v>7.470672373081242</v>
      </c>
      <c r="AA155" s="27">
        <f>Z44</f>
        <v>2.060544666299139</v>
      </c>
      <c r="AB155" s="58" t="s">
        <v>24</v>
      </c>
    </row>
    <row r="156" spans="18:28" ht="12.75">
      <c r="R156" s="30"/>
      <c r="S156" s="27"/>
      <c r="T156" s="27"/>
      <c r="U156" s="27"/>
      <c r="V156" s="27"/>
      <c r="W156" s="27"/>
      <c r="X156" s="27"/>
      <c r="Y156" s="27"/>
      <c r="Z156" s="27"/>
      <c r="AA156" s="27"/>
      <c r="AB156" s="58"/>
    </row>
    <row r="157" spans="18:28" ht="12.75">
      <c r="R157" s="48" t="s">
        <v>135</v>
      </c>
      <c r="S157" s="27" t="s">
        <v>28</v>
      </c>
      <c r="T157" s="27" t="s">
        <v>23</v>
      </c>
      <c r="U157" s="27">
        <f>Y69+(U69-Y69)/2</f>
        <v>-6.366437512499717</v>
      </c>
      <c r="V157" s="27">
        <f>Z69-(Z69-Z74)/2</f>
        <v>2.6500262431813635</v>
      </c>
      <c r="W157" s="27" t="s">
        <v>22</v>
      </c>
      <c r="X157" s="27" t="s">
        <v>23</v>
      </c>
      <c r="Y157" s="27">
        <f>Y69</f>
        <v>-6.255536385509296</v>
      </c>
      <c r="Z157" s="35">
        <f>Z69</f>
        <v>2.539125116190942</v>
      </c>
      <c r="AA157" s="27" t="s">
        <v>24</v>
      </c>
      <c r="AB157" s="58"/>
    </row>
    <row r="158" spans="18:28" ht="12.75">
      <c r="R158" s="48"/>
      <c r="S158" s="27" t="s">
        <v>25</v>
      </c>
      <c r="T158" s="27">
        <f>$G$48/2</f>
        <v>0.11090112699042136</v>
      </c>
      <c r="U158" s="27" t="s">
        <v>23</v>
      </c>
      <c r="V158" s="27">
        <f>Y69+3*(U69-Y69)/4</f>
        <v>-6.421888075994927</v>
      </c>
      <c r="W158" s="27">
        <f>Z69</f>
        <v>2.539125116190942</v>
      </c>
      <c r="X158" s="27" t="s">
        <v>22</v>
      </c>
      <c r="Y158" s="27" t="s">
        <v>23</v>
      </c>
      <c r="Z158" s="27">
        <f>Y69</f>
        <v>-6.255536385509296</v>
      </c>
      <c r="AA158" s="27">
        <f>Z69-3*(Z69-Z74)/4</f>
        <v>2.7054768066765744</v>
      </c>
      <c r="AB158" s="58" t="s">
        <v>24</v>
      </c>
    </row>
    <row r="159" spans="18:28" ht="12.75">
      <c r="R159" s="48" t="s">
        <v>191</v>
      </c>
      <c r="S159" s="27" t="s">
        <v>28</v>
      </c>
      <c r="T159" s="27" t="s">
        <v>23</v>
      </c>
      <c r="U159" s="27">
        <f>U70</f>
        <v>-2.233046964490327</v>
      </c>
      <c r="V159" s="27">
        <f>Z70</f>
        <v>2.539125116190942</v>
      </c>
      <c r="W159" s="27" t="s">
        <v>22</v>
      </c>
      <c r="X159" s="27" t="s">
        <v>23</v>
      </c>
      <c r="Y159" s="27">
        <f>U70+(Y70-U70)/2</f>
        <v>-2.1221458374999056</v>
      </c>
      <c r="Z159" s="35">
        <f>Z70+(Z75-V75)/2</f>
        <v>2.6500262431813635</v>
      </c>
      <c r="AA159" s="27" t="s">
        <v>24</v>
      </c>
      <c r="AB159" s="58"/>
    </row>
    <row r="160" spans="18:28" ht="12.75">
      <c r="R160" s="48"/>
      <c r="S160" s="27" t="s">
        <v>25</v>
      </c>
      <c r="T160" s="27">
        <f>$G$48/2</f>
        <v>0.11090112699042136</v>
      </c>
      <c r="U160" s="27" t="s">
        <v>23</v>
      </c>
      <c r="V160" s="27">
        <f>U70</f>
        <v>-2.233046964490327</v>
      </c>
      <c r="W160" s="27">
        <f>Z70+3*(Z75-Z70)/4</f>
        <v>2.7054768066765744</v>
      </c>
      <c r="X160" s="27" t="s">
        <v>22</v>
      </c>
      <c r="Y160" s="27" t="s">
        <v>23</v>
      </c>
      <c r="Z160" s="27">
        <f>U70+3*(Y70-U70)/4</f>
        <v>-2.0666952740046947</v>
      </c>
      <c r="AA160" s="27">
        <f>Z70</f>
        <v>2.539125116190942</v>
      </c>
      <c r="AB160" s="58" t="s">
        <v>24</v>
      </c>
    </row>
    <row r="161" spans="18:28" ht="12.75">
      <c r="R161" s="30"/>
      <c r="S161" s="27"/>
      <c r="T161" s="27"/>
      <c r="U161" s="27"/>
      <c r="V161" s="27"/>
      <c r="W161" s="27"/>
      <c r="X161" s="27"/>
      <c r="Y161" s="27"/>
      <c r="Z161" s="27"/>
      <c r="AA161" s="27"/>
      <c r="AB161" s="58"/>
    </row>
    <row r="162" spans="18:28" ht="12.75">
      <c r="R162" s="48" t="s">
        <v>66</v>
      </c>
      <c r="S162" s="27" t="s">
        <v>28</v>
      </c>
      <c r="T162" s="27" t="s">
        <v>23</v>
      </c>
      <c r="U162" s="27">
        <f>Y71+(U71-Y71)/2</f>
        <v>2.1221458374999056</v>
      </c>
      <c r="V162" s="27">
        <f>Z71-(Z71-Z76)/2</f>
        <v>2.6500262431813635</v>
      </c>
      <c r="W162" s="27" t="s">
        <v>22</v>
      </c>
      <c r="X162" s="27" t="s">
        <v>23</v>
      </c>
      <c r="Y162" s="27">
        <f>Y71</f>
        <v>2.233046964490327</v>
      </c>
      <c r="Z162" s="35">
        <f>Z71</f>
        <v>2.539125116190942</v>
      </c>
      <c r="AA162" s="27" t="s">
        <v>24</v>
      </c>
      <c r="AB162" s="58"/>
    </row>
    <row r="163" spans="18:28" ht="12.75">
      <c r="R163" s="48"/>
      <c r="S163" s="27" t="s">
        <v>25</v>
      </c>
      <c r="T163" s="27">
        <f>$G$48/2</f>
        <v>0.11090112699042136</v>
      </c>
      <c r="U163" s="27" t="s">
        <v>23</v>
      </c>
      <c r="V163" s="27">
        <f>Y71+3*(U71-Y71)/4</f>
        <v>2.0666952740046947</v>
      </c>
      <c r="W163" s="27">
        <f>Z71</f>
        <v>2.539125116190942</v>
      </c>
      <c r="X163" s="27" t="s">
        <v>22</v>
      </c>
      <c r="Y163" s="27" t="s">
        <v>23</v>
      </c>
      <c r="Z163" s="27">
        <f>Y71</f>
        <v>2.233046964490327</v>
      </c>
      <c r="AA163" s="27">
        <f>Z71-3*(Z71-Z76)/4</f>
        <v>2.7054768066765744</v>
      </c>
      <c r="AB163" s="58" t="s">
        <v>24</v>
      </c>
    </row>
    <row r="164" spans="18:28" ht="12.75">
      <c r="R164" s="48" t="s">
        <v>127</v>
      </c>
      <c r="S164" s="27" t="s">
        <v>28</v>
      </c>
      <c r="T164" s="27" t="s">
        <v>23</v>
      </c>
      <c r="U164" s="27">
        <f>U72</f>
        <v>6.255536385509296</v>
      </c>
      <c r="V164" s="27">
        <f>Z72</f>
        <v>2.539125116190942</v>
      </c>
      <c r="W164" s="27" t="s">
        <v>22</v>
      </c>
      <c r="X164" s="27" t="s">
        <v>23</v>
      </c>
      <c r="Y164" s="27">
        <f>U72+(Y72-U72)/2</f>
        <v>6.366437512499717</v>
      </c>
      <c r="Z164" s="35">
        <f>Z72+(Z77-V77)/2</f>
        <v>2.6500262431813635</v>
      </c>
      <c r="AA164" s="27" t="s">
        <v>24</v>
      </c>
      <c r="AB164" s="58"/>
    </row>
    <row r="165" spans="18:28" ht="12.75">
      <c r="R165" s="48"/>
      <c r="S165" s="27" t="s">
        <v>25</v>
      </c>
      <c r="T165" s="27">
        <f>$G$48/2</f>
        <v>0.11090112699042136</v>
      </c>
      <c r="U165" s="27" t="s">
        <v>23</v>
      </c>
      <c r="V165" s="27">
        <f>U72</f>
        <v>6.255536385509296</v>
      </c>
      <c r="W165" s="27">
        <f>Z72+3*(Z77-Z72)/4</f>
        <v>2.7054768066765744</v>
      </c>
      <c r="X165" s="27" t="s">
        <v>22</v>
      </c>
      <c r="Y165" s="27" t="s">
        <v>23</v>
      </c>
      <c r="Z165" s="27">
        <f>U72+3*(Y72-U72)/4</f>
        <v>6.421888075994927</v>
      </c>
      <c r="AA165" s="27">
        <f>Z72</f>
        <v>2.539125116190942</v>
      </c>
      <c r="AB165" s="58" t="s">
        <v>24</v>
      </c>
    </row>
    <row r="166" spans="19:28" ht="12.75">
      <c r="S166" s="27"/>
      <c r="T166" s="27"/>
      <c r="U166" s="27"/>
      <c r="V166" s="27"/>
      <c r="W166" s="27"/>
      <c r="X166" s="27"/>
      <c r="Y166" s="27"/>
      <c r="Z166" s="27"/>
      <c r="AA166" s="27"/>
      <c r="AB166" s="58"/>
    </row>
    <row r="167" spans="18:28" ht="12.75">
      <c r="R167" s="48" t="s">
        <v>214</v>
      </c>
      <c r="S167" s="27" t="s">
        <v>28</v>
      </c>
      <c r="T167" s="27" t="s">
        <v>23</v>
      </c>
      <c r="U167" s="27">
        <f>Y87+(U87-Y87)/2</f>
        <v>-4.244291674999811</v>
      </c>
      <c r="V167" s="27">
        <f>Z87-(Z87-Z90)/2</f>
        <v>3.1531839364004433</v>
      </c>
      <c r="W167" s="27" t="s">
        <v>22</v>
      </c>
      <c r="X167" s="27" t="s">
        <v>23</v>
      </c>
      <c r="Y167" s="27">
        <f>Y87</f>
        <v>-4.13339054800939</v>
      </c>
      <c r="Z167" s="35">
        <f>Z87</f>
        <v>3.042282809410022</v>
      </c>
      <c r="AA167" s="27" t="s">
        <v>24</v>
      </c>
      <c r="AB167" s="58"/>
    </row>
    <row r="168" spans="18:28" ht="12.75">
      <c r="R168" s="48"/>
      <c r="S168" s="27" t="s">
        <v>25</v>
      </c>
      <c r="T168" s="27">
        <f>$G$48/2</f>
        <v>0.11090112699042136</v>
      </c>
      <c r="U168" s="27" t="s">
        <v>23</v>
      </c>
      <c r="V168" s="27">
        <f>Y87+3*(U87-Y87)/4</f>
        <v>-4.299742238495021</v>
      </c>
      <c r="W168" s="27">
        <f>Z87</f>
        <v>3.042282809410022</v>
      </c>
      <c r="X168" s="27" t="s">
        <v>22</v>
      </c>
      <c r="Y168" s="27" t="s">
        <v>23</v>
      </c>
      <c r="Z168" s="27">
        <f>Y87</f>
        <v>-4.13339054800939</v>
      </c>
      <c r="AA168" s="27">
        <f>Z87-3*(Z87-Z90)/4</f>
        <v>3.2086344998956537</v>
      </c>
      <c r="AB168" s="58" t="s">
        <v>24</v>
      </c>
    </row>
    <row r="169" spans="18:28" ht="12.75">
      <c r="R169" s="48" t="s">
        <v>53</v>
      </c>
      <c r="S169" s="27" t="s">
        <v>28</v>
      </c>
      <c r="T169" s="27" t="s">
        <v>23</v>
      </c>
      <c r="U169" s="27">
        <f>U88</f>
        <v>4.13339054800939</v>
      </c>
      <c r="V169" s="27">
        <f>Z88</f>
        <v>3.042282809410022</v>
      </c>
      <c r="W169" s="27" t="s">
        <v>22</v>
      </c>
      <c r="X169" s="27" t="s">
        <v>23</v>
      </c>
      <c r="Y169" s="27">
        <f>U88+(Y88-U88)/2</f>
        <v>4.244291674999811</v>
      </c>
      <c r="Z169" s="35">
        <f>Z88+(Z91-V91)/2</f>
        <v>3.1531839364004433</v>
      </c>
      <c r="AA169" s="27" t="s">
        <v>24</v>
      </c>
      <c r="AB169" s="58"/>
    </row>
    <row r="170" spans="18:28" ht="12.75">
      <c r="R170" s="48"/>
      <c r="S170" s="27" t="s">
        <v>25</v>
      </c>
      <c r="T170" s="27">
        <f>$G$48/2</f>
        <v>0.11090112699042136</v>
      </c>
      <c r="U170" s="27" t="s">
        <v>23</v>
      </c>
      <c r="V170" s="27">
        <f>U88</f>
        <v>4.13339054800939</v>
      </c>
      <c r="W170" s="27">
        <f>Z88+3*(Z91-Z88)/4</f>
        <v>3.2086344998956537</v>
      </c>
      <c r="X170" s="27" t="s">
        <v>22</v>
      </c>
      <c r="Y170" s="27" t="s">
        <v>23</v>
      </c>
      <c r="Z170" s="27">
        <f>U88+3*(Y88-U88)/4</f>
        <v>4.299742238495021</v>
      </c>
      <c r="AA170" s="27">
        <f>Z88</f>
        <v>3.042282809410022</v>
      </c>
      <c r="AB170" s="58" t="s">
        <v>24</v>
      </c>
    </row>
    <row r="171" spans="19:28" ht="12.75">
      <c r="S171" s="27"/>
      <c r="T171" s="27"/>
      <c r="U171" s="27"/>
      <c r="V171" s="27"/>
      <c r="W171" s="27"/>
      <c r="X171" s="27"/>
      <c r="Y171" s="27"/>
      <c r="Z171" s="27"/>
      <c r="AA171" s="27"/>
      <c r="AB171" s="58"/>
    </row>
    <row r="172" spans="18:28" ht="12.75">
      <c r="R172" s="48" t="s">
        <v>148</v>
      </c>
      <c r="S172" s="27" t="s">
        <v>149</v>
      </c>
      <c r="T172" s="27" t="s">
        <v>150</v>
      </c>
      <c r="U172" s="27"/>
      <c r="V172" s="27"/>
      <c r="W172" s="27"/>
      <c r="X172" s="27"/>
      <c r="Y172" s="27"/>
      <c r="Z172" s="27"/>
      <c r="AA172" s="27"/>
      <c r="AB172" s="58"/>
    </row>
    <row r="173" spans="18:28" ht="12.75">
      <c r="R173" s="48"/>
      <c r="S173" s="27" t="s">
        <v>31</v>
      </c>
      <c r="T173" s="27">
        <v>0.01</v>
      </c>
      <c r="U173" s="27" t="s">
        <v>23</v>
      </c>
      <c r="V173" s="27">
        <f>$G$42/2-($G$28+$G$26/2)</f>
        <v>8.288583349999623</v>
      </c>
      <c r="W173" s="27">
        <f>$G$28+$G$26/2</f>
        <v>0.2</v>
      </c>
      <c r="X173" s="27" t="s">
        <v>22</v>
      </c>
      <c r="Y173" s="27" t="s">
        <v>23</v>
      </c>
      <c r="Z173" s="27">
        <f>V173+$G$26/2</f>
        <v>8.388583349999623</v>
      </c>
      <c r="AA173" s="27">
        <f>W173</f>
        <v>0.2</v>
      </c>
      <c r="AB173" s="58" t="s">
        <v>24</v>
      </c>
    </row>
    <row r="174" spans="18:28" ht="12.75">
      <c r="R174" s="48"/>
      <c r="S174" s="27" t="s">
        <v>31</v>
      </c>
      <c r="T174" s="27">
        <v>0.01</v>
      </c>
      <c r="U174" s="27" t="s">
        <v>23</v>
      </c>
      <c r="V174" s="27">
        <f>$G$42/4</f>
        <v>4.244291674999811</v>
      </c>
      <c r="W174" s="27">
        <f>$G$28+$G$26/2</f>
        <v>0.2</v>
      </c>
      <c r="X174" s="27" t="s">
        <v>22</v>
      </c>
      <c r="Y174" s="27" t="s">
        <v>23</v>
      </c>
      <c r="Z174" s="27">
        <f>V174+$G$26/2</f>
        <v>4.344291674999811</v>
      </c>
      <c r="AA174" s="27">
        <f>W174</f>
        <v>0.2</v>
      </c>
      <c r="AB174" s="58" t="s">
        <v>24</v>
      </c>
    </row>
    <row r="175" spans="18:28" ht="12.75">
      <c r="R175" s="48"/>
      <c r="S175" s="27" t="s">
        <v>31</v>
      </c>
      <c r="T175" s="27">
        <v>0.01</v>
      </c>
      <c r="U175" s="27" t="s">
        <v>23</v>
      </c>
      <c r="V175" s="27">
        <v>0</v>
      </c>
      <c r="W175" s="27">
        <f>$G$28+$G$26/2</f>
        <v>0.2</v>
      </c>
      <c r="X175" s="27" t="s">
        <v>22</v>
      </c>
      <c r="Y175" s="27" t="s">
        <v>23</v>
      </c>
      <c r="Z175" s="27">
        <f>V175+$G$26/2</f>
        <v>0.1</v>
      </c>
      <c r="AA175" s="27">
        <f>W175</f>
        <v>0.2</v>
      </c>
      <c r="AB175" s="58" t="s">
        <v>24</v>
      </c>
    </row>
    <row r="176" spans="18:28" ht="12.75">
      <c r="R176" s="48"/>
      <c r="S176" s="27" t="s">
        <v>31</v>
      </c>
      <c r="T176" s="27">
        <v>0.01</v>
      </c>
      <c r="U176" s="27" t="s">
        <v>23</v>
      </c>
      <c r="V176" s="27">
        <f>-$G$42/4</f>
        <v>-4.244291674999811</v>
      </c>
      <c r="W176" s="27">
        <f>$G$28+$G$26/2</f>
        <v>0.2</v>
      </c>
      <c r="X176" s="27" t="s">
        <v>22</v>
      </c>
      <c r="Y176" s="27" t="s">
        <v>23</v>
      </c>
      <c r="Z176" s="27">
        <f>V176+$G$26/2</f>
        <v>-4.1442916749998115</v>
      </c>
      <c r="AA176" s="27">
        <f>W176</f>
        <v>0.2</v>
      </c>
      <c r="AB176" s="58" t="s">
        <v>24</v>
      </c>
    </row>
    <row r="177" spans="18:28" ht="12.75">
      <c r="R177" s="48"/>
      <c r="S177" s="27" t="s">
        <v>31</v>
      </c>
      <c r="T177" s="27">
        <v>0.01</v>
      </c>
      <c r="U177" s="27" t="s">
        <v>23</v>
      </c>
      <c r="V177" s="27">
        <f>-$G$42/2+($G$28+$G$26/2)</f>
        <v>-8.288583349999623</v>
      </c>
      <c r="W177" s="27">
        <f>$G$28+$G$26/2</f>
        <v>0.2</v>
      </c>
      <c r="X177" s="27" t="s">
        <v>22</v>
      </c>
      <c r="Y177" s="27" t="s">
        <v>23</v>
      </c>
      <c r="Z177" s="27">
        <f>V177+$G$26/2</f>
        <v>-8.188583349999623</v>
      </c>
      <c r="AA177" s="27">
        <f>W177</f>
        <v>0.2</v>
      </c>
      <c r="AB177" s="58" t="s">
        <v>24</v>
      </c>
    </row>
    <row r="178" spans="18:28" ht="12.75">
      <c r="R178" s="48"/>
      <c r="S178" s="27"/>
      <c r="T178" s="27"/>
      <c r="U178" s="27"/>
      <c r="V178" s="27"/>
      <c r="W178" s="27"/>
      <c r="X178" s="27"/>
      <c r="Y178" s="27"/>
      <c r="Z178" s="27"/>
      <c r="AA178" s="27"/>
      <c r="AB178" s="58"/>
    </row>
    <row r="179" spans="18:28" ht="12.75">
      <c r="R179" s="48"/>
      <c r="S179" s="27" t="s">
        <v>31</v>
      </c>
      <c r="T179" s="27">
        <v>0.01</v>
      </c>
      <c r="U179" s="27" t="s">
        <v>23</v>
      </c>
      <c r="V179" s="27">
        <f>$G$42/2-($G$28+$G$26/2)</f>
        <v>8.288583349999623</v>
      </c>
      <c r="W179" s="27">
        <f>$AA$102-($G$28+$G$26/2)</f>
        <v>3.7240850633908646</v>
      </c>
      <c r="X179" s="27" t="s">
        <v>22</v>
      </c>
      <c r="Y179" s="27" t="s">
        <v>23</v>
      </c>
      <c r="Z179" s="27">
        <f>V179+$G$26/2</f>
        <v>8.388583349999623</v>
      </c>
      <c r="AA179" s="27">
        <f>W179</f>
        <v>3.7240850633908646</v>
      </c>
      <c r="AB179" s="58" t="s">
        <v>24</v>
      </c>
    </row>
    <row r="180" spans="18:28" ht="12.75">
      <c r="R180" s="48"/>
      <c r="S180" s="27" t="s">
        <v>31</v>
      </c>
      <c r="T180" s="27">
        <v>0.01</v>
      </c>
      <c r="U180" s="27" t="s">
        <v>23</v>
      </c>
      <c r="V180" s="27">
        <f>$G$42/4</f>
        <v>4.244291674999811</v>
      </c>
      <c r="W180" s="27">
        <f>$AA$102-($G$28+$G$26/2)</f>
        <v>3.7240850633908646</v>
      </c>
      <c r="X180" s="27" t="s">
        <v>22</v>
      </c>
      <c r="Y180" s="27" t="s">
        <v>23</v>
      </c>
      <c r="Z180" s="27">
        <f>V180+$G$26/2</f>
        <v>4.344291674999811</v>
      </c>
      <c r="AA180" s="27">
        <f>W180</f>
        <v>3.7240850633908646</v>
      </c>
      <c r="AB180" s="58" t="s">
        <v>24</v>
      </c>
    </row>
    <row r="181" spans="18:28" ht="12.75">
      <c r="R181" s="48"/>
      <c r="S181" s="27" t="s">
        <v>31</v>
      </c>
      <c r="T181" s="27">
        <v>0.01</v>
      </c>
      <c r="U181" s="27" t="s">
        <v>23</v>
      </c>
      <c r="V181" s="27">
        <v>0</v>
      </c>
      <c r="W181" s="27">
        <f>$AA$102-($G$28+$G$26/2)</f>
        <v>3.7240850633908646</v>
      </c>
      <c r="X181" s="27" t="s">
        <v>22</v>
      </c>
      <c r="Y181" s="27" t="s">
        <v>23</v>
      </c>
      <c r="Z181" s="27">
        <f>V181+$G$26/2</f>
        <v>0.1</v>
      </c>
      <c r="AA181" s="27">
        <f>W181</f>
        <v>3.7240850633908646</v>
      </c>
      <c r="AB181" s="58" t="s">
        <v>24</v>
      </c>
    </row>
    <row r="182" spans="18:28" ht="12.75">
      <c r="R182" s="48"/>
      <c r="S182" s="27" t="s">
        <v>31</v>
      </c>
      <c r="T182" s="27">
        <v>0.01</v>
      </c>
      <c r="U182" s="27" t="s">
        <v>23</v>
      </c>
      <c r="V182" s="27">
        <f>-$G$42/4</f>
        <v>-4.244291674999811</v>
      </c>
      <c r="W182" s="27">
        <f>$AA$102-($G$28+$G$26/2)</f>
        <v>3.7240850633908646</v>
      </c>
      <c r="X182" s="27" t="s">
        <v>22</v>
      </c>
      <c r="Y182" s="27" t="s">
        <v>23</v>
      </c>
      <c r="Z182" s="27">
        <f>V182+$G$26/2</f>
        <v>-4.1442916749998115</v>
      </c>
      <c r="AA182" s="27">
        <f>W182</f>
        <v>3.7240850633908646</v>
      </c>
      <c r="AB182" s="58" t="s">
        <v>24</v>
      </c>
    </row>
    <row r="183" spans="18:28" ht="12.75">
      <c r="R183" s="48"/>
      <c r="S183" s="27" t="s">
        <v>31</v>
      </c>
      <c r="T183" s="27">
        <v>0.01</v>
      </c>
      <c r="U183" s="27" t="s">
        <v>23</v>
      </c>
      <c r="V183" s="27">
        <f>-$G$42/2+($G$28+$G$26/2)</f>
        <v>-8.288583349999623</v>
      </c>
      <c r="W183" s="27">
        <f>$AA$102-($G$28+$G$26/2)</f>
        <v>3.7240850633908646</v>
      </c>
      <c r="X183" s="27" t="s">
        <v>22</v>
      </c>
      <c r="Y183" s="27" t="s">
        <v>23</v>
      </c>
      <c r="Z183" s="27">
        <f>V183+$G$26/2</f>
        <v>-8.188583349999623</v>
      </c>
      <c r="AA183" s="27">
        <f>W183</f>
        <v>3.7240850633908646</v>
      </c>
      <c r="AB183" s="58" t="s">
        <v>24</v>
      </c>
    </row>
    <row r="184" spans="18:28" ht="12.75">
      <c r="R184" s="48"/>
      <c r="S184" s="27"/>
      <c r="T184" s="27"/>
      <c r="U184" s="27"/>
      <c r="V184" s="27"/>
      <c r="W184" s="27"/>
      <c r="X184" s="27"/>
      <c r="Y184" s="27"/>
      <c r="Z184" s="27"/>
      <c r="AA184" s="27"/>
      <c r="AB184" s="58"/>
    </row>
    <row r="185" spans="18:28" ht="12.75">
      <c r="R185" s="48"/>
      <c r="S185" s="27" t="s">
        <v>31</v>
      </c>
      <c r="T185" s="27">
        <v>0.01</v>
      </c>
      <c r="U185" s="27" t="s">
        <v>23</v>
      </c>
      <c r="V185" s="27">
        <f>$G$42/2-($G$28+$G$26/2)</f>
        <v>8.288583349999623</v>
      </c>
      <c r="W185" s="27">
        <f>(W179-W173)/2+W173</f>
        <v>1.9620425316954322</v>
      </c>
      <c r="X185" s="27" t="s">
        <v>22</v>
      </c>
      <c r="Y185" s="27" t="s">
        <v>23</v>
      </c>
      <c r="Z185" s="27">
        <f>V185+$G$26/2</f>
        <v>8.388583349999623</v>
      </c>
      <c r="AA185" s="27">
        <f>W185</f>
        <v>1.9620425316954322</v>
      </c>
      <c r="AB185" s="58" t="s">
        <v>24</v>
      </c>
    </row>
    <row r="186" spans="18:28" ht="12.75">
      <c r="R186" s="48"/>
      <c r="S186" s="27" t="s">
        <v>31</v>
      </c>
      <c r="T186" s="27">
        <v>0.01</v>
      </c>
      <c r="U186" s="27" t="s">
        <v>23</v>
      </c>
      <c r="V186" s="27">
        <f>-$G$42/2+($G$28+$G$26/2)</f>
        <v>-8.288583349999623</v>
      </c>
      <c r="W186" s="27">
        <f>(W183-W177)/2+W177</f>
        <v>1.9620425316954322</v>
      </c>
      <c r="X186" s="27" t="s">
        <v>22</v>
      </c>
      <c r="Y186" s="27" t="s">
        <v>23</v>
      </c>
      <c r="Z186" s="27">
        <f>V186+$G$26/2</f>
        <v>-8.188583349999623</v>
      </c>
      <c r="AA186" s="27">
        <f>W186</f>
        <v>1.9620425316954322</v>
      </c>
      <c r="AB186" s="58" t="s">
        <v>24</v>
      </c>
    </row>
    <row r="187" spans="19:28" ht="12.75">
      <c r="S187" s="27"/>
      <c r="T187" s="27"/>
      <c r="U187" s="27"/>
      <c r="V187" s="27"/>
      <c r="W187" s="27"/>
      <c r="X187" s="27"/>
      <c r="Y187" s="27"/>
      <c r="Z187" s="27"/>
      <c r="AA187" s="27"/>
      <c r="AB187" s="58"/>
    </row>
    <row r="188" spans="18:28" ht="12.75">
      <c r="R188" s="48" t="s">
        <v>189</v>
      </c>
      <c r="S188" s="27" t="s">
        <v>26</v>
      </c>
      <c r="T188" s="27">
        <f>$G$24</f>
        <v>0.05</v>
      </c>
      <c r="U188" s="27" t="s">
        <v>23</v>
      </c>
      <c r="V188" s="27">
        <f>$G$42/2-($G$28+$G$26/2)</f>
        <v>8.288583349999623</v>
      </c>
      <c r="W188" s="27">
        <f>$G$28+$G$26/2</f>
        <v>0.2</v>
      </c>
      <c r="X188" s="27" t="s">
        <v>24</v>
      </c>
      <c r="Y188" s="27"/>
      <c r="Z188" s="27"/>
      <c r="AA188" s="27"/>
      <c r="AB188" s="58"/>
    </row>
    <row r="189" spans="18:28" ht="12.75">
      <c r="R189" s="48"/>
      <c r="S189" s="27" t="s">
        <v>26</v>
      </c>
      <c r="T189" s="27">
        <f>$G$24</f>
        <v>0.05</v>
      </c>
      <c r="U189" s="27" t="s">
        <v>23</v>
      </c>
      <c r="V189" s="27">
        <f>$G$42/4</f>
        <v>4.244291674999811</v>
      </c>
      <c r="W189" s="27">
        <f>$G$28+$G$26/2</f>
        <v>0.2</v>
      </c>
      <c r="X189" s="27" t="s">
        <v>24</v>
      </c>
      <c r="Y189" s="27"/>
      <c r="Z189" s="27"/>
      <c r="AA189" s="27"/>
      <c r="AB189" s="58"/>
    </row>
    <row r="190" spans="18:28" ht="12.75">
      <c r="R190" s="48"/>
      <c r="S190" s="27" t="s">
        <v>26</v>
      </c>
      <c r="T190" s="27">
        <f>$G$24</f>
        <v>0.05</v>
      </c>
      <c r="U190" s="27" t="s">
        <v>23</v>
      </c>
      <c r="V190" s="27">
        <v>0</v>
      </c>
      <c r="W190" s="27">
        <f>$G$28+$G$26/2</f>
        <v>0.2</v>
      </c>
      <c r="X190" s="27" t="s">
        <v>24</v>
      </c>
      <c r="Y190" s="27"/>
      <c r="Z190" s="27"/>
      <c r="AA190" s="27"/>
      <c r="AB190" s="58"/>
    </row>
    <row r="191" spans="18:28" ht="12.75">
      <c r="R191" s="48"/>
      <c r="S191" s="27" t="s">
        <v>26</v>
      </c>
      <c r="T191" s="27">
        <f>$G$24</f>
        <v>0.05</v>
      </c>
      <c r="U191" s="27" t="s">
        <v>23</v>
      </c>
      <c r="V191" s="27">
        <f>-$G$42/4</f>
        <v>-4.244291674999811</v>
      </c>
      <c r="W191" s="27">
        <f>$G$28+$G$26/2</f>
        <v>0.2</v>
      </c>
      <c r="X191" s="27" t="s">
        <v>24</v>
      </c>
      <c r="Y191" s="27"/>
      <c r="Z191" s="27"/>
      <c r="AA191" s="27"/>
      <c r="AB191" s="58"/>
    </row>
    <row r="192" spans="18:28" ht="12.75">
      <c r="R192" s="48"/>
      <c r="S192" s="27" t="s">
        <v>26</v>
      </c>
      <c r="T192" s="27">
        <f>$G$24</f>
        <v>0.05</v>
      </c>
      <c r="U192" s="27" t="s">
        <v>23</v>
      </c>
      <c r="V192" s="27">
        <f>-$G$42/2+($G$28+$G$26/2)</f>
        <v>-8.288583349999623</v>
      </c>
      <c r="W192" s="27">
        <f>$G$28+$G$26/2</f>
        <v>0.2</v>
      </c>
      <c r="X192" s="27" t="s">
        <v>24</v>
      </c>
      <c r="Y192" s="27"/>
      <c r="Z192" s="27"/>
      <c r="AA192" s="27"/>
      <c r="AB192" s="58"/>
    </row>
    <row r="193" spans="18:28" ht="12.75">
      <c r="R193" s="48"/>
      <c r="S193" s="27"/>
      <c r="T193" s="27"/>
      <c r="U193" s="27"/>
      <c r="V193" s="27"/>
      <c r="W193" s="27"/>
      <c r="X193" s="27"/>
      <c r="Y193" s="27"/>
      <c r="Z193" s="27"/>
      <c r="AA193" s="27"/>
      <c r="AB193" s="58"/>
    </row>
    <row r="194" spans="18:28" ht="12.75">
      <c r="R194" s="48"/>
      <c r="S194" s="27" t="s">
        <v>26</v>
      </c>
      <c r="T194" s="27">
        <f>$G$24</f>
        <v>0.05</v>
      </c>
      <c r="U194" s="27" t="s">
        <v>23</v>
      </c>
      <c r="V194" s="27">
        <f>$G$42/2-($G$28+$G$26/2)</f>
        <v>8.288583349999623</v>
      </c>
      <c r="W194" s="27">
        <f>$AA$102-($G$28+$G$26/2)</f>
        <v>3.7240850633908646</v>
      </c>
      <c r="X194" s="27" t="s">
        <v>24</v>
      </c>
      <c r="Y194" s="27"/>
      <c r="Z194" s="27"/>
      <c r="AA194" s="27"/>
      <c r="AB194" s="58"/>
    </row>
    <row r="195" spans="18:28" ht="12.75">
      <c r="R195" s="48"/>
      <c r="S195" s="27" t="s">
        <v>26</v>
      </c>
      <c r="T195" s="27">
        <f>$G$24</f>
        <v>0.05</v>
      </c>
      <c r="U195" s="27" t="s">
        <v>23</v>
      </c>
      <c r="V195" s="27">
        <f>$G$42/4</f>
        <v>4.244291674999811</v>
      </c>
      <c r="W195" s="27">
        <f>$AA$102-($G$28+$G$26/2)</f>
        <v>3.7240850633908646</v>
      </c>
      <c r="X195" s="27" t="s">
        <v>24</v>
      </c>
      <c r="Y195" s="27"/>
      <c r="Z195" s="27"/>
      <c r="AA195" s="27"/>
      <c r="AB195" s="58"/>
    </row>
    <row r="196" spans="18:28" ht="12.75">
      <c r="R196" s="48"/>
      <c r="S196" s="27" t="s">
        <v>26</v>
      </c>
      <c r="T196" s="27">
        <f>$G$24</f>
        <v>0.05</v>
      </c>
      <c r="U196" s="27" t="s">
        <v>23</v>
      </c>
      <c r="V196" s="27">
        <v>0</v>
      </c>
      <c r="W196" s="27">
        <f>$AA$102-($G$28+$G$26/2)</f>
        <v>3.7240850633908646</v>
      </c>
      <c r="X196" s="27" t="s">
        <v>24</v>
      </c>
      <c r="Y196" s="27"/>
      <c r="Z196" s="27"/>
      <c r="AA196" s="27"/>
      <c r="AB196" s="58"/>
    </row>
    <row r="197" spans="18:28" ht="12.75">
      <c r="R197" s="48"/>
      <c r="S197" s="27" t="s">
        <v>26</v>
      </c>
      <c r="T197" s="27">
        <f>$G$24</f>
        <v>0.05</v>
      </c>
      <c r="U197" s="27" t="s">
        <v>23</v>
      </c>
      <c r="V197" s="27">
        <f>-$G$42/4</f>
        <v>-4.244291674999811</v>
      </c>
      <c r="W197" s="27">
        <f>$AA$102-($G$28+$G$26/2)</f>
        <v>3.7240850633908646</v>
      </c>
      <c r="X197" s="27" t="s">
        <v>24</v>
      </c>
      <c r="Y197" s="27"/>
      <c r="Z197" s="27"/>
      <c r="AA197" s="27"/>
      <c r="AB197" s="58"/>
    </row>
    <row r="198" spans="18:28" ht="12.75">
      <c r="R198" s="48"/>
      <c r="S198" s="27" t="s">
        <v>26</v>
      </c>
      <c r="T198" s="27">
        <f>$G$24</f>
        <v>0.05</v>
      </c>
      <c r="U198" s="27" t="s">
        <v>23</v>
      </c>
      <c r="V198" s="27">
        <f>-$G$42/2+($G$28+$G$26/2)</f>
        <v>-8.288583349999623</v>
      </c>
      <c r="W198" s="27">
        <f>$AA$102-($G$28+$G$26/2)</f>
        <v>3.7240850633908646</v>
      </c>
      <c r="X198" s="27" t="s">
        <v>24</v>
      </c>
      <c r="Y198" s="27"/>
      <c r="Z198" s="27"/>
      <c r="AA198" s="27"/>
      <c r="AB198" s="58"/>
    </row>
    <row r="199" spans="18:28" ht="12.75">
      <c r="R199" s="48"/>
      <c r="S199" s="27"/>
      <c r="T199" s="27"/>
      <c r="U199" s="27"/>
      <c r="V199" s="27"/>
      <c r="W199" s="27"/>
      <c r="X199" s="27"/>
      <c r="Y199" s="27"/>
      <c r="Z199" s="27"/>
      <c r="AA199" s="27"/>
      <c r="AB199" s="58"/>
    </row>
    <row r="200" spans="18:28" ht="12.75">
      <c r="R200" s="48"/>
      <c r="S200" s="27" t="s">
        <v>26</v>
      </c>
      <c r="T200" s="27">
        <f>$G$24</f>
        <v>0.05</v>
      </c>
      <c r="U200" s="27" t="s">
        <v>23</v>
      </c>
      <c r="V200" s="27">
        <f>$G$42/2-($G$28+$G$26/2)</f>
        <v>8.288583349999623</v>
      </c>
      <c r="W200" s="27">
        <f>(W194-W188)/2+W188</f>
        <v>1.9620425316954322</v>
      </c>
      <c r="X200" s="27" t="s">
        <v>24</v>
      </c>
      <c r="Y200" s="27"/>
      <c r="Z200" s="27"/>
      <c r="AA200" s="27"/>
      <c r="AB200" s="58"/>
    </row>
    <row r="201" spans="18:28" ht="12.75">
      <c r="R201" s="48"/>
      <c r="S201" s="27" t="s">
        <v>26</v>
      </c>
      <c r="T201" s="27">
        <f>$G$24</f>
        <v>0.05</v>
      </c>
      <c r="U201" s="27" t="s">
        <v>23</v>
      </c>
      <c r="V201" s="27">
        <f>-$G$42/2+($G$28+$G$26/2)</f>
        <v>-8.288583349999623</v>
      </c>
      <c r="W201" s="27">
        <f>(W198-W192)/2+W192</f>
        <v>1.9620425316954322</v>
      </c>
      <c r="X201" s="27" t="s">
        <v>24</v>
      </c>
      <c r="Y201" s="27"/>
      <c r="Z201" s="27"/>
      <c r="AA201" s="27"/>
      <c r="AB201" s="58"/>
    </row>
    <row r="202" spans="19:28" ht="12.75">
      <c r="S202" s="27"/>
      <c r="T202" s="27"/>
      <c r="U202" s="27"/>
      <c r="V202" s="27"/>
      <c r="W202" s="27"/>
      <c r="X202" s="27"/>
      <c r="Y202" s="27"/>
      <c r="Z202" s="27"/>
      <c r="AA202" s="27"/>
      <c r="AB202" s="58"/>
    </row>
    <row r="203" spans="18:28" ht="12.75">
      <c r="R203" s="48" t="s">
        <v>203</v>
      </c>
      <c r="S203" s="27" t="s">
        <v>149</v>
      </c>
      <c r="T203" s="27" t="s">
        <v>204</v>
      </c>
      <c r="U203" s="27"/>
      <c r="V203" s="27"/>
      <c r="W203" s="27"/>
      <c r="X203" s="27"/>
      <c r="Y203" s="27"/>
      <c r="Z203" s="27"/>
      <c r="AA203" s="27"/>
      <c r="AB203" s="58"/>
    </row>
    <row r="204" spans="18:28" ht="12.75">
      <c r="R204" s="48"/>
      <c r="S204" s="27" t="s">
        <v>31</v>
      </c>
      <c r="T204" s="27">
        <v>0.01</v>
      </c>
      <c r="U204" s="27" t="s">
        <v>23</v>
      </c>
      <c r="V204" s="27">
        <v>0</v>
      </c>
      <c r="W204" s="27">
        <f>$W$99</f>
        <v>3.1531839364004433</v>
      </c>
      <c r="X204" s="27" t="s">
        <v>22</v>
      </c>
      <c r="Y204" s="27" t="s">
        <v>23</v>
      </c>
      <c r="Z204" s="27">
        <f>V204+1/2*0.5</f>
        <v>0.25</v>
      </c>
      <c r="AA204" s="27">
        <f>W204</f>
        <v>3.1531839364004433</v>
      </c>
      <c r="AB204" s="58" t="s">
        <v>24</v>
      </c>
    </row>
    <row r="205" spans="18:28" ht="12.75">
      <c r="R205" s="48"/>
      <c r="S205" s="27"/>
      <c r="T205" s="27"/>
      <c r="U205" s="27"/>
      <c r="V205" s="27"/>
      <c r="W205" s="27"/>
      <c r="X205" s="27"/>
      <c r="Y205" s="27"/>
      <c r="Z205" s="27"/>
      <c r="AA205" s="27"/>
      <c r="AB205" s="58"/>
    </row>
    <row r="206" spans="18:28" ht="12.75">
      <c r="R206" s="48"/>
      <c r="S206" s="27" t="s">
        <v>31</v>
      </c>
      <c r="T206" s="27">
        <v>0.01</v>
      </c>
      <c r="U206" s="27" t="s">
        <v>23</v>
      </c>
      <c r="V206" s="27">
        <f>$G$42/2-($G$28+$G$26/2)</f>
        <v>8.288583349999623</v>
      </c>
      <c r="W206" s="27">
        <f>$G$28+$G$26/2</f>
        <v>0.2</v>
      </c>
      <c r="X206" s="27" t="s">
        <v>22</v>
      </c>
      <c r="Y206" s="27" t="s">
        <v>23</v>
      </c>
      <c r="Z206" s="27">
        <f>V206+$G$27/2</f>
        <v>8.333083349999622</v>
      </c>
      <c r="AA206" s="27">
        <f>W206</f>
        <v>0.2</v>
      </c>
      <c r="AB206" s="58" t="s">
        <v>24</v>
      </c>
    </row>
    <row r="207" spans="18:28" ht="12.75">
      <c r="R207" s="48"/>
      <c r="S207" s="27" t="s">
        <v>31</v>
      </c>
      <c r="T207" s="27">
        <v>0.01</v>
      </c>
      <c r="U207" s="27" t="s">
        <v>23</v>
      </c>
      <c r="V207" s="27">
        <f>$G$42/4</f>
        <v>4.244291674999811</v>
      </c>
      <c r="W207" s="27">
        <f>$G$28+$G$26/2</f>
        <v>0.2</v>
      </c>
      <c r="X207" s="27" t="s">
        <v>22</v>
      </c>
      <c r="Y207" s="27" t="s">
        <v>23</v>
      </c>
      <c r="Z207" s="27">
        <f>V207+$G$27/2</f>
        <v>4.288791674999811</v>
      </c>
      <c r="AA207" s="27">
        <f>W207</f>
        <v>0.2</v>
      </c>
      <c r="AB207" s="58" t="s">
        <v>24</v>
      </c>
    </row>
    <row r="208" spans="18:28" ht="12.75">
      <c r="R208" s="48"/>
      <c r="S208" s="27" t="s">
        <v>31</v>
      </c>
      <c r="T208" s="27">
        <v>0.01</v>
      </c>
      <c r="U208" s="27" t="s">
        <v>23</v>
      </c>
      <c r="V208" s="27">
        <v>0</v>
      </c>
      <c r="W208" s="27">
        <f>$G$28+$G$26/2</f>
        <v>0.2</v>
      </c>
      <c r="X208" s="27" t="s">
        <v>22</v>
      </c>
      <c r="Y208" s="27" t="s">
        <v>23</v>
      </c>
      <c r="Z208" s="27">
        <f>V208+$G$27/2</f>
        <v>0.0445</v>
      </c>
      <c r="AA208" s="27">
        <f>W208</f>
        <v>0.2</v>
      </c>
      <c r="AB208" s="58" t="s">
        <v>24</v>
      </c>
    </row>
    <row r="209" spans="18:28" ht="12.75">
      <c r="R209" s="48"/>
      <c r="S209" s="27" t="s">
        <v>31</v>
      </c>
      <c r="T209" s="27">
        <v>0.01</v>
      </c>
      <c r="U209" s="27" t="s">
        <v>23</v>
      </c>
      <c r="V209" s="27">
        <f>-$G$42/4</f>
        <v>-4.244291674999811</v>
      </c>
      <c r="W209" s="27">
        <f>$G$28+$G$26/2</f>
        <v>0.2</v>
      </c>
      <c r="X209" s="27" t="s">
        <v>22</v>
      </c>
      <c r="Y209" s="27" t="s">
        <v>23</v>
      </c>
      <c r="Z209" s="27">
        <f>V209+$G$27/2</f>
        <v>-4.199791674999811</v>
      </c>
      <c r="AA209" s="27">
        <f>W209</f>
        <v>0.2</v>
      </c>
      <c r="AB209" s="58" t="s">
        <v>24</v>
      </c>
    </row>
    <row r="210" spans="18:28" ht="12.75">
      <c r="R210" s="48"/>
      <c r="S210" s="27" t="s">
        <v>31</v>
      </c>
      <c r="T210" s="27">
        <v>0.01</v>
      </c>
      <c r="U210" s="27" t="s">
        <v>23</v>
      </c>
      <c r="V210" s="27">
        <f>-$G$42/2+($G$28+$G$26/2)</f>
        <v>-8.288583349999623</v>
      </c>
      <c r="W210" s="27">
        <f>$G$28+$G$26/2</f>
        <v>0.2</v>
      </c>
      <c r="X210" s="27" t="s">
        <v>22</v>
      </c>
      <c r="Y210" s="27" t="s">
        <v>23</v>
      </c>
      <c r="Z210" s="27">
        <f>V210+$G$27/2</f>
        <v>-8.244083349999624</v>
      </c>
      <c r="AA210" s="27">
        <f>W210</f>
        <v>0.2</v>
      </c>
      <c r="AB210" s="58" t="s">
        <v>24</v>
      </c>
    </row>
    <row r="211" spans="18:28" ht="12.75">
      <c r="R211" s="48"/>
      <c r="S211" s="27"/>
      <c r="T211" s="27"/>
      <c r="U211" s="27"/>
      <c r="V211" s="27"/>
      <c r="W211" s="27"/>
      <c r="X211" s="27"/>
      <c r="Y211" s="27"/>
      <c r="Z211" s="27"/>
      <c r="AA211" s="27"/>
      <c r="AB211" s="58"/>
    </row>
    <row r="212" spans="18:28" ht="12.75">
      <c r="R212" s="48"/>
      <c r="S212" s="27" t="s">
        <v>31</v>
      </c>
      <c r="T212" s="27">
        <v>0.01</v>
      </c>
      <c r="U212" s="27" t="s">
        <v>23</v>
      </c>
      <c r="V212" s="27">
        <f>$G$42/2-($G$28+$G$26/2)</f>
        <v>8.288583349999623</v>
      </c>
      <c r="W212" s="27">
        <f>$AA$102-($G$28+$G$26/2)</f>
        <v>3.7240850633908646</v>
      </c>
      <c r="X212" s="27" t="s">
        <v>22</v>
      </c>
      <c r="Y212" s="27" t="s">
        <v>23</v>
      </c>
      <c r="Z212" s="27">
        <f>V212+$G$27/2</f>
        <v>8.333083349999622</v>
      </c>
      <c r="AA212" s="27">
        <f>W212</f>
        <v>3.7240850633908646</v>
      </c>
      <c r="AB212" s="58" t="s">
        <v>24</v>
      </c>
    </row>
    <row r="213" spans="18:28" ht="12.75">
      <c r="R213" s="48"/>
      <c r="S213" s="27" t="s">
        <v>31</v>
      </c>
      <c r="T213" s="27">
        <v>0.01</v>
      </c>
      <c r="U213" s="27" t="s">
        <v>23</v>
      </c>
      <c r="V213" s="27">
        <f>$G$42/4</f>
        <v>4.244291674999811</v>
      </c>
      <c r="W213" s="27">
        <f>$AA$102-($G$28+$G$26/2)</f>
        <v>3.7240850633908646</v>
      </c>
      <c r="X213" s="27" t="s">
        <v>22</v>
      </c>
      <c r="Y213" s="27" t="s">
        <v>23</v>
      </c>
      <c r="Z213" s="27">
        <f>V213+$G$27/2</f>
        <v>4.288791674999811</v>
      </c>
      <c r="AA213" s="27">
        <f>W213</f>
        <v>3.7240850633908646</v>
      </c>
      <c r="AB213" s="58" t="s">
        <v>24</v>
      </c>
    </row>
    <row r="214" spans="18:28" ht="12.75">
      <c r="R214" s="48"/>
      <c r="S214" s="27" t="s">
        <v>31</v>
      </c>
      <c r="T214" s="27">
        <v>0.01</v>
      </c>
      <c r="U214" s="27" t="s">
        <v>23</v>
      </c>
      <c r="V214" s="27">
        <v>0</v>
      </c>
      <c r="W214" s="27">
        <f>$AA$102-($G$28+$G$26/2)</f>
        <v>3.7240850633908646</v>
      </c>
      <c r="X214" s="27" t="s">
        <v>22</v>
      </c>
      <c r="Y214" s="27" t="s">
        <v>23</v>
      </c>
      <c r="Z214" s="27">
        <f>V214+$G$27/2</f>
        <v>0.0445</v>
      </c>
      <c r="AA214" s="27">
        <f>W214</f>
        <v>3.7240850633908646</v>
      </c>
      <c r="AB214" s="58" t="s">
        <v>24</v>
      </c>
    </row>
    <row r="215" spans="18:28" ht="12.75">
      <c r="R215" s="48"/>
      <c r="S215" s="27" t="s">
        <v>31</v>
      </c>
      <c r="T215" s="27">
        <v>0.01</v>
      </c>
      <c r="U215" s="27" t="s">
        <v>23</v>
      </c>
      <c r="V215" s="27">
        <f>-$G$42/4</f>
        <v>-4.244291674999811</v>
      </c>
      <c r="W215" s="27">
        <f>$AA$102-($G$28+$G$26/2)</f>
        <v>3.7240850633908646</v>
      </c>
      <c r="X215" s="27" t="s">
        <v>22</v>
      </c>
      <c r="Y215" s="27" t="s">
        <v>23</v>
      </c>
      <c r="Z215" s="27">
        <f>V215+$G$27/2</f>
        <v>-4.199791674999811</v>
      </c>
      <c r="AA215" s="27">
        <f>W215</f>
        <v>3.7240850633908646</v>
      </c>
      <c r="AB215" s="58" t="s">
        <v>24</v>
      </c>
    </row>
    <row r="216" spans="18:28" ht="12.75">
      <c r="R216" s="48"/>
      <c r="S216" s="27" t="s">
        <v>31</v>
      </c>
      <c r="T216" s="27">
        <v>0.01</v>
      </c>
      <c r="U216" s="27" t="s">
        <v>23</v>
      </c>
      <c r="V216" s="27">
        <f>-$G$42/2+($G$28+$G$26/2)</f>
        <v>-8.288583349999623</v>
      </c>
      <c r="W216" s="27">
        <f>$AA$102-($G$28+$G$26/2)</f>
        <v>3.7240850633908646</v>
      </c>
      <c r="X216" s="27" t="s">
        <v>22</v>
      </c>
      <c r="Y216" s="27" t="s">
        <v>23</v>
      </c>
      <c r="Z216" s="27">
        <f>V216+$G$27/2</f>
        <v>-8.244083349999624</v>
      </c>
      <c r="AA216" s="27">
        <f>W216</f>
        <v>3.7240850633908646</v>
      </c>
      <c r="AB216" s="58" t="s">
        <v>24</v>
      </c>
    </row>
    <row r="217" spans="18:28" ht="12.75">
      <c r="R217" s="48"/>
      <c r="S217" s="27"/>
      <c r="T217" s="27"/>
      <c r="U217" s="27"/>
      <c r="V217" s="27"/>
      <c r="W217" s="27"/>
      <c r="X217" s="27"/>
      <c r="Y217" s="27"/>
      <c r="Z217" s="27"/>
      <c r="AA217" s="27"/>
      <c r="AB217" s="58"/>
    </row>
    <row r="218" spans="18:28" ht="12.75">
      <c r="R218" s="48"/>
      <c r="S218" s="27" t="s">
        <v>31</v>
      </c>
      <c r="T218" s="27">
        <v>0.01</v>
      </c>
      <c r="U218" s="27" t="s">
        <v>23</v>
      </c>
      <c r="V218" s="27">
        <f>$G$42/2-($G$28+$G$26/2)</f>
        <v>8.288583349999623</v>
      </c>
      <c r="W218" s="27">
        <f>(W212-W206)/2+W206</f>
        <v>1.9620425316954322</v>
      </c>
      <c r="X218" s="27" t="s">
        <v>22</v>
      </c>
      <c r="Y218" s="27" t="s">
        <v>23</v>
      </c>
      <c r="Z218" s="27">
        <f>V218+$G$27/2</f>
        <v>8.333083349999622</v>
      </c>
      <c r="AA218" s="27">
        <f>W218</f>
        <v>1.9620425316954322</v>
      </c>
      <c r="AB218" s="58" t="s">
        <v>24</v>
      </c>
    </row>
    <row r="219" spans="18:28" ht="12.75">
      <c r="R219" s="48"/>
      <c r="S219" s="27" t="s">
        <v>31</v>
      </c>
      <c r="T219" s="27">
        <v>0.01</v>
      </c>
      <c r="U219" s="27" t="s">
        <v>23</v>
      </c>
      <c r="V219" s="27">
        <f>-$G$42/2+($G$28+$G$26/2)</f>
        <v>-8.288583349999623</v>
      </c>
      <c r="W219" s="27">
        <f>(W216-W210)/2+W210</f>
        <v>1.9620425316954322</v>
      </c>
      <c r="X219" s="27" t="s">
        <v>22</v>
      </c>
      <c r="Y219" s="27" t="s">
        <v>23</v>
      </c>
      <c r="Z219" s="27">
        <f>V219+$G$27/2</f>
        <v>-8.244083349999624</v>
      </c>
      <c r="AA219" s="27">
        <f>W219</f>
        <v>1.9620425316954322</v>
      </c>
      <c r="AB219" s="58" t="s">
        <v>24</v>
      </c>
    </row>
    <row r="220" spans="19:28" ht="12.75">
      <c r="S220" s="27"/>
      <c r="T220" s="27"/>
      <c r="U220" s="27"/>
      <c r="V220" s="27"/>
      <c r="W220" s="27"/>
      <c r="X220" s="27"/>
      <c r="Y220" s="27"/>
      <c r="Z220" s="27"/>
      <c r="AA220" s="27"/>
      <c r="AB220" s="58"/>
    </row>
    <row r="221" spans="18:28" ht="12.75">
      <c r="R221" s="48" t="s">
        <v>91</v>
      </c>
      <c r="S221" s="46" t="s">
        <v>92</v>
      </c>
      <c r="T221" s="27"/>
      <c r="U221" s="27"/>
      <c r="V221" s="27"/>
      <c r="W221" s="27"/>
      <c r="X221" s="27"/>
      <c r="Y221" s="27"/>
      <c r="Z221" s="27"/>
      <c r="AA221" s="27"/>
      <c r="AB221" s="58"/>
    </row>
    <row r="222" spans="18:28" ht="12.75">
      <c r="R222" s="48"/>
      <c r="S222" s="46" t="s">
        <v>120</v>
      </c>
      <c r="T222" s="27"/>
      <c r="U222" s="27"/>
      <c r="V222" s="27"/>
      <c r="W222" s="27"/>
      <c r="X222" s="27"/>
      <c r="Y222" s="27"/>
      <c r="Z222" s="27"/>
      <c r="AA222" s="27"/>
      <c r="AB222" s="58"/>
    </row>
    <row r="223" spans="18:28" ht="12.75">
      <c r="R223" s="48"/>
      <c r="S223" s="27" t="s">
        <v>153</v>
      </c>
      <c r="T223" s="27" t="s">
        <v>23</v>
      </c>
      <c r="U223" s="27">
        <v>0</v>
      </c>
      <c r="V223" s="27">
        <f>-1*$W$102</f>
        <v>-3.924085063390865</v>
      </c>
      <c r="W223" s="27" t="s">
        <v>24</v>
      </c>
      <c r="X223" s="27"/>
      <c r="Y223" s="27"/>
      <c r="Z223" s="27"/>
      <c r="AA223" s="27"/>
      <c r="AB223" s="58"/>
    </row>
    <row r="224" spans="19:28" ht="12.75">
      <c r="S224" s="27"/>
      <c r="T224" s="27"/>
      <c r="U224" s="27"/>
      <c r="V224" s="27"/>
      <c r="W224" s="27"/>
      <c r="X224" s="27"/>
      <c r="Y224" s="27"/>
      <c r="Z224" s="27"/>
      <c r="AA224" s="27"/>
      <c r="AB224" s="58"/>
    </row>
    <row r="225" spans="18:28" ht="12.75">
      <c r="R225" s="48" t="s">
        <v>209</v>
      </c>
      <c r="S225" s="27" t="s">
        <v>181</v>
      </c>
      <c r="T225" s="27"/>
      <c r="U225" s="27"/>
      <c r="V225" s="27"/>
      <c r="W225" s="27"/>
      <c r="X225" s="27"/>
      <c r="Y225" s="27"/>
      <c r="Z225" s="27"/>
      <c r="AA225" s="27"/>
      <c r="AB225" s="58"/>
    </row>
    <row r="226" spans="18:28" ht="12.75">
      <c r="R226" s="48"/>
      <c r="S226" s="46" t="s">
        <v>228</v>
      </c>
      <c r="T226" s="27"/>
      <c r="U226" s="27"/>
      <c r="V226" s="27"/>
      <c r="W226" s="27"/>
      <c r="X226" s="27"/>
      <c r="Y226" s="27"/>
      <c r="Z226" s="27"/>
      <c r="AA226" s="27"/>
      <c r="AB226" s="58"/>
    </row>
    <row r="227" ht="12.75"/>
    <row r="228" ht="12.75"/>
    <row r="229" ht="12.75"/>
    <row r="230" ht="12.75"/>
    <row r="231" ht="12.75"/>
    <row r="232" ht="12.75"/>
    <row r="233" ht="12.75"/>
    <row r="234" ht="12.75"/>
    <row r="235" ht="12.75"/>
    <row r="236" ht="12.75"/>
  </sheetData>
  <sheetProtection/>
  <mergeCells count="1">
    <mergeCell ref="S4:AB4"/>
  </mergeCells>
  <printOptions/>
  <pageMargins left="0.75" right="0.75" top="1" bottom="1" header="0.5" footer="0.5"/>
  <pageSetup horizontalDpi="600" verticalDpi="600" orientation="portrait" paperSize="9"/>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AO148"/>
  <sheetViews>
    <sheetView zoomScaleSheetLayoutView="1" workbookViewId="0" topLeftCell="A1">
      <selection activeCell="K11" sqref="K11"/>
    </sheetView>
  </sheetViews>
  <sheetFormatPr defaultColWidth="9.140625" defaultRowHeight="12.75"/>
  <cols>
    <col min="1" max="1" width="2.57421875" style="1" customWidth="1"/>
    <col min="2" max="2" width="12.28125" style="1" customWidth="1"/>
    <col min="3" max="3" width="2.28125" style="1" customWidth="1"/>
    <col min="4" max="4" width="9.140625" style="1" customWidth="1"/>
    <col min="5" max="5" width="12.28125" style="1" customWidth="1"/>
    <col min="6" max="6" width="2.28125" style="1" customWidth="1"/>
    <col min="7" max="7" width="12.00390625" style="1" bestFit="1" customWidth="1"/>
    <col min="8" max="8" width="6.00390625" style="21" customWidth="1"/>
    <col min="9" max="9" width="9.140625" style="1" customWidth="1"/>
    <col min="10" max="10" width="5.421875" style="1" customWidth="1"/>
    <col min="11" max="11" width="9.140625" style="1" customWidth="1"/>
    <col min="12" max="12" width="3.57421875" style="1" customWidth="1"/>
    <col min="13" max="13" width="11.421875" style="1" customWidth="1"/>
    <col min="14" max="14" width="4.00390625" style="1" customWidth="1"/>
    <col min="15" max="15" width="9.140625" style="1" customWidth="1"/>
    <col min="16" max="16" width="2.57421875" style="1" customWidth="1"/>
    <col min="17" max="17" width="2.421875" style="1" customWidth="1"/>
    <col min="18" max="18" width="16.28125" style="39" customWidth="1"/>
    <col min="19" max="19" width="10.57421875" style="47" bestFit="1" customWidth="1"/>
    <col min="20" max="20" width="9.140625" style="47" customWidth="1"/>
    <col min="21" max="21" width="10.421875" style="47" customWidth="1"/>
    <col min="22" max="24" width="9.140625" style="47" customWidth="1"/>
    <col min="25" max="25" width="10.28125" style="47" customWidth="1"/>
    <col min="26" max="26" width="9.140625" style="47" customWidth="1"/>
    <col min="27" max="27" width="16.7109375" style="47" bestFit="1" customWidth="1"/>
    <col min="28" max="41" width="9.140625" style="39" customWidth="1"/>
    <col min="42" max="85" width="9.140625" style="1" customWidth="1"/>
  </cols>
  <sheetData>
    <row r="1" ht="12.75">
      <c r="A1" s="3" t="s">
        <v>0</v>
      </c>
    </row>
    <row r="2" ht="12.75">
      <c r="A2" s="34"/>
    </row>
    <row r="3" spans="2:4" ht="12.75">
      <c r="B3" s="1" t="s">
        <v>93</v>
      </c>
      <c r="C3" s="65"/>
      <c r="D3" s="1" t="s">
        <v>94</v>
      </c>
    </row>
    <row r="4" spans="3:28" ht="12.75">
      <c r="C4" s="11"/>
      <c r="D4" s="1" t="s">
        <v>121</v>
      </c>
      <c r="S4" s="27" t="s">
        <v>125</v>
      </c>
      <c r="T4" s="27"/>
      <c r="U4" s="27"/>
      <c r="V4" s="27"/>
      <c r="W4" s="27"/>
      <c r="X4" s="27"/>
      <c r="Y4" s="27"/>
      <c r="Z4" s="27"/>
      <c r="AA4" s="27"/>
      <c r="AB4" s="27"/>
    </row>
    <row r="5" ht="12.75">
      <c r="A5" s="34"/>
    </row>
    <row r="6" spans="1:28" ht="12.75">
      <c r="A6" s="8" t="s">
        <v>177</v>
      </c>
      <c r="B6" s="8"/>
      <c r="C6" s="8"/>
      <c r="D6" s="8"/>
      <c r="E6" s="8"/>
      <c r="F6" s="8"/>
      <c r="G6" s="8"/>
      <c r="H6" s="16"/>
      <c r="I6" s="8"/>
      <c r="J6" s="8"/>
      <c r="K6" s="8"/>
      <c r="L6" s="8"/>
      <c r="M6" s="8"/>
      <c r="N6" s="8"/>
      <c r="O6" s="8"/>
      <c r="P6" s="8"/>
      <c r="R6" s="48" t="s">
        <v>180</v>
      </c>
      <c r="S6" s="46" t="s">
        <v>181</v>
      </c>
      <c r="T6" s="27"/>
      <c r="U6" s="27"/>
      <c r="V6" s="27"/>
      <c r="W6" s="27"/>
      <c r="X6" s="27"/>
      <c r="Y6" s="27"/>
      <c r="Z6" s="27"/>
      <c r="AA6" s="27"/>
      <c r="AB6" s="58"/>
    </row>
    <row r="7" spans="18:28" ht="12.75">
      <c r="R7" s="48"/>
      <c r="S7" s="46" t="s">
        <v>210</v>
      </c>
      <c r="T7" s="27"/>
      <c r="U7" s="27"/>
      <c r="V7" s="27"/>
      <c r="W7" s="27"/>
      <c r="X7" s="27"/>
      <c r="Y7" s="27"/>
      <c r="Z7" s="27"/>
      <c r="AA7" s="27"/>
      <c r="AB7" s="58"/>
    </row>
    <row r="8" spans="2:28" ht="12.75">
      <c r="B8" s="1" t="s">
        <v>68</v>
      </c>
      <c r="C8" s="1" t="s">
        <v>33</v>
      </c>
      <c r="D8" s="1" t="s">
        <v>230</v>
      </c>
      <c r="F8" s="1" t="s">
        <v>33</v>
      </c>
      <c r="G8" s="31">
        <v>299792458</v>
      </c>
      <c r="H8" s="21" t="s">
        <v>232</v>
      </c>
      <c r="S8" s="27"/>
      <c r="T8" s="27"/>
      <c r="U8" s="27"/>
      <c r="V8" s="27"/>
      <c r="W8" s="27"/>
      <c r="X8" s="27"/>
      <c r="Y8" s="27"/>
      <c r="Z8" s="27"/>
      <c r="AA8" s="27"/>
      <c r="AB8" s="58"/>
    </row>
    <row r="9" spans="7:28" ht="12.75">
      <c r="G9" s="31"/>
      <c r="R9" s="48" t="s">
        <v>51</v>
      </c>
      <c r="S9" s="58" t="s">
        <v>28</v>
      </c>
      <c r="T9" s="58" t="s">
        <v>23</v>
      </c>
      <c r="U9" s="58">
        <f>-$G$42/2-$G$32</f>
        <v>-8.498583349999622</v>
      </c>
      <c r="V9" s="37">
        <f>$G$22+$G$30</f>
        <v>0.66</v>
      </c>
      <c r="W9" s="58" t="s">
        <v>22</v>
      </c>
      <c r="X9" s="58" t="s">
        <v>23</v>
      </c>
      <c r="Y9" s="58">
        <f>$G$42/2+$G$32</f>
        <v>8.498583349999622</v>
      </c>
      <c r="Z9" s="19">
        <f>V9+$G$41</f>
        <v>2.242046453126727</v>
      </c>
      <c r="AA9" s="58" t="s">
        <v>24</v>
      </c>
      <c r="AB9" s="58"/>
    </row>
    <row r="10" spans="1:28" ht="12.75">
      <c r="A10" s="8" t="s">
        <v>82</v>
      </c>
      <c r="B10" s="8"/>
      <c r="C10" s="8"/>
      <c r="D10" s="8"/>
      <c r="E10" s="8"/>
      <c r="F10" s="8"/>
      <c r="G10" s="8"/>
      <c r="H10" s="16"/>
      <c r="I10" s="8"/>
      <c r="J10" s="8"/>
      <c r="K10" s="8"/>
      <c r="L10" s="8"/>
      <c r="M10" s="8"/>
      <c r="N10" s="8"/>
      <c r="O10" s="8"/>
      <c r="P10" s="8"/>
      <c r="S10" s="27"/>
      <c r="T10" s="27"/>
      <c r="U10" s="27"/>
      <c r="V10" s="27"/>
      <c r="W10" s="27"/>
      <c r="X10" s="27"/>
      <c r="Y10" s="27"/>
      <c r="Z10" s="27"/>
      <c r="AA10" s="27"/>
      <c r="AB10" s="58"/>
    </row>
    <row r="11" spans="18:28" ht="12.75">
      <c r="R11" s="48" t="s">
        <v>116</v>
      </c>
      <c r="S11" s="27" t="s">
        <v>28</v>
      </c>
      <c r="T11" s="27" t="s">
        <v>23</v>
      </c>
      <c r="U11" s="27">
        <f>-7*$G$42/16-$G$50/2</f>
        <v>-7.441226468256389</v>
      </c>
      <c r="V11" s="27">
        <f>$Z$9</f>
        <v>2.242046453126727</v>
      </c>
      <c r="W11" s="27" t="s">
        <v>22</v>
      </c>
      <c r="X11" s="27" t="s">
        <v>23</v>
      </c>
      <c r="Y11" s="27">
        <f>-7*$G$42/16+$G$50/2</f>
        <v>-7.4137943942429505</v>
      </c>
      <c r="Z11" s="27">
        <f>$Z$9+$G$22</f>
        <v>2.602046453126727</v>
      </c>
      <c r="AA11" s="27" t="s">
        <v>24</v>
      </c>
      <c r="AB11" s="58"/>
    </row>
    <row r="12" spans="2:28" ht="12.75">
      <c r="B12" s="40" t="s">
        <v>143</v>
      </c>
      <c r="C12" s="40" t="s">
        <v>33</v>
      </c>
      <c r="D12" s="40" t="s">
        <v>144</v>
      </c>
      <c r="E12" s="40"/>
      <c r="F12" s="40" t="s">
        <v>33</v>
      </c>
      <c r="G12" s="64">
        <v>2.20066</v>
      </c>
      <c r="H12" s="56"/>
      <c r="I12" s="40"/>
      <c r="J12" s="40"/>
      <c r="K12" s="40"/>
      <c r="L12" s="40"/>
      <c r="M12" s="40"/>
      <c r="N12" s="40"/>
      <c r="O12" s="40"/>
      <c r="P12" s="40"/>
      <c r="R12" s="48"/>
      <c r="S12" s="27" t="s">
        <v>28</v>
      </c>
      <c r="T12" s="27" t="s">
        <v>23</v>
      </c>
      <c r="U12" s="27">
        <f>-5*$G$42/16-$G$50/2</f>
        <v>-5.319080630756483</v>
      </c>
      <c r="V12" s="27">
        <f>$Z$9</f>
        <v>2.242046453126727</v>
      </c>
      <c r="W12" s="27" t="s">
        <v>22</v>
      </c>
      <c r="X12" s="27" t="s">
        <v>23</v>
      </c>
      <c r="Y12" s="27">
        <f>-5*$G$42/16+$G$50/2</f>
        <v>-5.291648556743045</v>
      </c>
      <c r="Z12" s="27">
        <f>$Z$9+$G$22</f>
        <v>2.602046453126727</v>
      </c>
      <c r="AA12" s="27" t="s">
        <v>24</v>
      </c>
      <c r="AB12" s="58"/>
    </row>
    <row r="13" spans="2:28" ht="12.75">
      <c r="B13" s="40" t="s">
        <v>170</v>
      </c>
      <c r="C13" s="40" t="s">
        <v>33</v>
      </c>
      <c r="D13" s="40" t="s">
        <v>171</v>
      </c>
      <c r="E13" s="40"/>
      <c r="F13" s="40" t="s">
        <v>33</v>
      </c>
      <c r="G13" s="63">
        <v>2390000000</v>
      </c>
      <c r="H13" s="56" t="s">
        <v>172</v>
      </c>
      <c r="I13" s="40"/>
      <c r="J13" s="40"/>
      <c r="K13" s="40"/>
      <c r="L13" s="40"/>
      <c r="M13" s="40"/>
      <c r="N13" s="40"/>
      <c r="O13" s="40"/>
      <c r="P13" s="40"/>
      <c r="R13" s="48"/>
      <c r="S13" s="27" t="s">
        <v>28</v>
      </c>
      <c r="T13" s="27" t="s">
        <v>23</v>
      </c>
      <c r="U13" s="27">
        <f>-3*$G$42/16-$G$50/2</f>
        <v>-3.1969347932565775</v>
      </c>
      <c r="V13" s="27">
        <f>$Z$9</f>
        <v>2.242046453126727</v>
      </c>
      <c r="W13" s="27" t="s">
        <v>22</v>
      </c>
      <c r="X13" s="27" t="s">
        <v>23</v>
      </c>
      <c r="Y13" s="27">
        <f>-3*$G$42/16+$G$50/2</f>
        <v>-3.1695027192431393</v>
      </c>
      <c r="Z13" s="27">
        <f>$Z$9+$G$22</f>
        <v>2.602046453126727</v>
      </c>
      <c r="AA13" s="27" t="s">
        <v>24</v>
      </c>
      <c r="AB13" s="58"/>
    </row>
    <row r="14" spans="2:28" ht="12.75">
      <c r="B14" s="40" t="s">
        <v>199</v>
      </c>
      <c r="C14" s="40" t="s">
        <v>33</v>
      </c>
      <c r="D14" s="40" t="s">
        <v>200</v>
      </c>
      <c r="E14" s="40"/>
      <c r="F14" s="40" t="s">
        <v>33</v>
      </c>
      <c r="G14" s="64"/>
      <c r="H14" s="56" t="s">
        <v>99</v>
      </c>
      <c r="I14" s="40" t="s">
        <v>202</v>
      </c>
      <c r="J14" s="40"/>
      <c r="K14" s="40"/>
      <c r="L14" s="40"/>
      <c r="M14" s="40"/>
      <c r="N14" s="40"/>
      <c r="O14" s="40"/>
      <c r="P14" s="40"/>
      <c r="R14" s="48"/>
      <c r="S14" s="27" t="s">
        <v>28</v>
      </c>
      <c r="T14" s="27" t="s">
        <v>23</v>
      </c>
      <c r="U14" s="27">
        <f>-1*$G$42/16-$G$50/2</f>
        <v>-1.0747889557566719</v>
      </c>
      <c r="V14" s="27">
        <f>$Z$9</f>
        <v>2.242046453126727</v>
      </c>
      <c r="W14" s="27" t="s">
        <v>22</v>
      </c>
      <c r="X14" s="27" t="s">
        <v>23</v>
      </c>
      <c r="Y14" s="27">
        <f>-1*$G$42/16+$G$50/2</f>
        <v>-1.0473568817432337</v>
      </c>
      <c r="Z14" s="27">
        <f>$Z$9+$G$22</f>
        <v>2.602046453126727</v>
      </c>
      <c r="AA14" s="27" t="s">
        <v>24</v>
      </c>
      <c r="AB14" s="58"/>
    </row>
    <row r="15" spans="2:28" ht="12.75">
      <c r="B15" s="40"/>
      <c r="C15" s="40"/>
      <c r="D15" s="40"/>
      <c r="E15" s="40"/>
      <c r="F15" s="40"/>
      <c r="G15" s="25"/>
      <c r="H15" s="56"/>
      <c r="I15" s="40"/>
      <c r="J15" s="40"/>
      <c r="K15" s="40"/>
      <c r="L15" s="40"/>
      <c r="M15" s="40"/>
      <c r="N15" s="40"/>
      <c r="O15" s="40"/>
      <c r="P15" s="40"/>
      <c r="R15" s="48"/>
      <c r="S15" s="27" t="s">
        <v>28</v>
      </c>
      <c r="T15" s="27" t="s">
        <v>23</v>
      </c>
      <c r="U15" s="27">
        <f>1*$G$42/16-$G$50/2</f>
        <v>1.0473568817432337</v>
      </c>
      <c r="V15" s="27">
        <f>$Z$9</f>
        <v>2.242046453126727</v>
      </c>
      <c r="W15" s="27" t="s">
        <v>22</v>
      </c>
      <c r="X15" s="27" t="s">
        <v>23</v>
      </c>
      <c r="Y15" s="27">
        <f>1*$G$42/16+$G$50/2</f>
        <v>1.0747889557566719</v>
      </c>
      <c r="Z15" s="27">
        <f>$Z$9+$G$22</f>
        <v>2.602046453126727</v>
      </c>
      <c r="AA15" s="27" t="s">
        <v>24</v>
      </c>
      <c r="AB15" s="58"/>
    </row>
    <row r="16" spans="2:28" ht="12" customHeight="1">
      <c r="B16" s="40" t="s">
        <v>40</v>
      </c>
      <c r="C16" s="40" t="s">
        <v>33</v>
      </c>
      <c r="D16" s="40" t="s">
        <v>41</v>
      </c>
      <c r="E16" s="40"/>
      <c r="F16" s="40" t="s">
        <v>33</v>
      </c>
      <c r="G16" s="13">
        <f>IF(ISBLANK(I16),IF(ISBLANK(K16),IF(ISBLANK(M16),IF(ISBLANK(O16),"NO VALUE!",O16*0.0254),M16/1000),K16/100),I16)</f>
        <v>0.13335</v>
      </c>
      <c r="H16" s="56" t="s">
        <v>35</v>
      </c>
      <c r="I16" s="66"/>
      <c r="J16" s="40" t="s">
        <v>35</v>
      </c>
      <c r="K16" s="66"/>
      <c r="L16" s="40" t="s">
        <v>43</v>
      </c>
      <c r="M16" s="66"/>
      <c r="N16" s="40" t="s">
        <v>44</v>
      </c>
      <c r="O16" s="67">
        <v>5.25</v>
      </c>
      <c r="P16" s="40" t="s">
        <v>45</v>
      </c>
      <c r="R16" s="48"/>
      <c r="S16" s="27" t="s">
        <v>28</v>
      </c>
      <c r="T16" s="27" t="s">
        <v>23</v>
      </c>
      <c r="U16" s="27">
        <f>3*$G$42/16-$G$50/2</f>
        <v>3.1695027192431393</v>
      </c>
      <c r="V16" s="27">
        <f>$Z$9</f>
        <v>2.242046453126727</v>
      </c>
      <c r="W16" s="27" t="s">
        <v>22</v>
      </c>
      <c r="X16" s="27" t="s">
        <v>23</v>
      </c>
      <c r="Y16" s="27">
        <f>3*$G$42/16+$G$50/2</f>
        <v>3.1969347932565775</v>
      </c>
      <c r="Z16" s="27">
        <f>$Z$9+$G$22</f>
        <v>2.602046453126727</v>
      </c>
      <c r="AA16" s="27" t="s">
        <v>24</v>
      </c>
      <c r="AB16" s="58"/>
    </row>
    <row r="17" spans="2:28" ht="12.75">
      <c r="B17" s="40" t="s">
        <v>76</v>
      </c>
      <c r="C17" s="40" t="s">
        <v>33</v>
      </c>
      <c r="D17" s="40" t="s">
        <v>77</v>
      </c>
      <c r="E17" s="40"/>
      <c r="F17" s="40" t="s">
        <v>33</v>
      </c>
      <c r="G17" s="13">
        <f>IF(ISBLANK(I17),IF(ISBLANK(K17),IF(ISBLANK(M17),IF(ISBLANK(O17),"NO VALUE!",O17*0.0254),M17/1000),K17/100),I17)</f>
        <v>0.000127</v>
      </c>
      <c r="H17" s="56" t="s">
        <v>35</v>
      </c>
      <c r="I17" s="68"/>
      <c r="J17" s="40" t="s">
        <v>35</v>
      </c>
      <c r="K17" s="68"/>
      <c r="L17" s="40" t="s">
        <v>43</v>
      </c>
      <c r="M17" s="68"/>
      <c r="N17" s="40" t="s">
        <v>44</v>
      </c>
      <c r="O17" s="69">
        <v>0.005</v>
      </c>
      <c r="P17" s="40" t="s">
        <v>45</v>
      </c>
      <c r="R17" s="48"/>
      <c r="S17" s="27" t="s">
        <v>28</v>
      </c>
      <c r="T17" s="27" t="s">
        <v>23</v>
      </c>
      <c r="U17" s="27">
        <f>5*$G$42/16-$G$50/2</f>
        <v>5.291648556743045</v>
      </c>
      <c r="V17" s="27">
        <f>$Z$9</f>
        <v>2.242046453126727</v>
      </c>
      <c r="W17" s="27" t="s">
        <v>22</v>
      </c>
      <c r="X17" s="27" t="s">
        <v>23</v>
      </c>
      <c r="Y17" s="27">
        <f>5*$G$42/16+$G$50/2</f>
        <v>5.319080630756483</v>
      </c>
      <c r="Z17" s="27">
        <f>$Z$9+$G$22</f>
        <v>2.602046453126727</v>
      </c>
      <c r="AA17" s="27" t="s">
        <v>24</v>
      </c>
      <c r="AB17" s="58"/>
    </row>
    <row r="18" spans="2:28" ht="12.75">
      <c r="B18" s="40" t="s">
        <v>102</v>
      </c>
      <c r="C18" s="40" t="s">
        <v>33</v>
      </c>
      <c r="D18" s="40" t="s">
        <v>103</v>
      </c>
      <c r="E18" s="40"/>
      <c r="F18" s="40" t="s">
        <v>33</v>
      </c>
      <c r="G18" s="13">
        <f>IF(ISBLANK(I18),IF(ISBLANK(K18),IF(ISBLANK(M18),IF(ISBLANK(O18),"NO VALUE!",O18*0.0254),M18/1000),K18/100),I18)</f>
        <v>0.0018287999999999998</v>
      </c>
      <c r="H18" s="56" t="s">
        <v>35</v>
      </c>
      <c r="I18" s="68"/>
      <c r="J18" s="40" t="s">
        <v>35</v>
      </c>
      <c r="K18" s="68"/>
      <c r="L18" s="40" t="s">
        <v>43</v>
      </c>
      <c r="M18" s="68"/>
      <c r="N18" s="40" t="s">
        <v>44</v>
      </c>
      <c r="O18" s="68">
        <v>0.072</v>
      </c>
      <c r="P18" s="40" t="s">
        <v>45</v>
      </c>
      <c r="R18" s="48"/>
      <c r="S18" s="27" t="s">
        <v>28</v>
      </c>
      <c r="T18" s="27" t="s">
        <v>23</v>
      </c>
      <c r="U18" s="27">
        <f>7*$G$42/16-$G$50/2</f>
        <v>7.4137943942429505</v>
      </c>
      <c r="V18" s="27">
        <f>$Z$9</f>
        <v>2.242046453126727</v>
      </c>
      <c r="W18" s="27" t="s">
        <v>22</v>
      </c>
      <c r="X18" s="27" t="s">
        <v>23</v>
      </c>
      <c r="Y18" s="27">
        <f>7*$G$42/16+$G$50/2</f>
        <v>7.441226468256389</v>
      </c>
      <c r="Z18" s="27">
        <f>$Z$9+$G$22</f>
        <v>2.602046453126727</v>
      </c>
      <c r="AA18" s="27" t="s">
        <v>24</v>
      </c>
      <c r="AB18" s="58"/>
    </row>
    <row r="19" spans="2:28" ht="12.75">
      <c r="B19" s="40" t="s">
        <v>136</v>
      </c>
      <c r="C19" s="40"/>
      <c r="D19" s="40" t="s">
        <v>137</v>
      </c>
      <c r="E19" s="40"/>
      <c r="F19" s="40" t="s">
        <v>33</v>
      </c>
      <c r="G19" s="13">
        <f>IF(ISBLANK(I19),IF(ISBLANK(K19),IF(ISBLANK(M19),IF(ISBLANK(O19),"NO VALUE!",O19*0.0254),M19/1000),K19/100),I19)</f>
        <v>1.7525999999999998E-05</v>
      </c>
      <c r="H19" s="56" t="s">
        <v>35</v>
      </c>
      <c r="I19" s="68"/>
      <c r="J19" s="40" t="s">
        <v>35</v>
      </c>
      <c r="K19" s="68"/>
      <c r="L19" s="40" t="s">
        <v>43</v>
      </c>
      <c r="M19" s="68"/>
      <c r="N19" s="40" t="s">
        <v>44</v>
      </c>
      <c r="O19" s="69">
        <v>0.00069</v>
      </c>
      <c r="P19" s="40" t="s">
        <v>45</v>
      </c>
      <c r="R19" s="48"/>
      <c r="S19" s="27"/>
      <c r="T19" s="27"/>
      <c r="U19" s="27"/>
      <c r="V19" s="27"/>
      <c r="W19" s="27"/>
      <c r="X19" s="27"/>
      <c r="Y19" s="27"/>
      <c r="Z19" s="27"/>
      <c r="AA19" s="27"/>
      <c r="AB19" s="58"/>
    </row>
    <row r="20" spans="2:28" ht="12.75">
      <c r="B20" s="40" t="s">
        <v>162</v>
      </c>
      <c r="C20" s="40" t="s">
        <v>33</v>
      </c>
      <c r="D20" s="40" t="s">
        <v>163</v>
      </c>
      <c r="E20" s="40"/>
      <c r="F20" s="40" t="s">
        <v>33</v>
      </c>
      <c r="G20" s="13">
        <f>IF(ISBLANK(I20),IF(ISBLANK(K20),IF(ISBLANK(M20),IF(ISBLANK(O20),"NO VALUE!",O20*0.0254),M20/1000),K20/100),I20)</f>
        <v>0.000127</v>
      </c>
      <c r="H20" s="56" t="s">
        <v>35</v>
      </c>
      <c r="I20" s="60"/>
      <c r="J20" s="40" t="s">
        <v>35</v>
      </c>
      <c r="K20" s="60"/>
      <c r="L20" s="40" t="s">
        <v>43</v>
      </c>
      <c r="M20" s="60"/>
      <c r="N20" s="40" t="s">
        <v>44</v>
      </c>
      <c r="O20" s="62">
        <v>0.005</v>
      </c>
      <c r="P20" s="40" t="s">
        <v>45</v>
      </c>
      <c r="R20" s="48" t="s">
        <v>188</v>
      </c>
      <c r="S20" s="27" t="s">
        <v>28</v>
      </c>
      <c r="T20" s="27" t="s">
        <v>23</v>
      </c>
      <c r="U20" s="27">
        <f>Y11</f>
        <v>-7.4137943942429505</v>
      </c>
      <c r="V20" s="27">
        <f>Z11</f>
        <v>2.602046453126727</v>
      </c>
      <c r="W20" s="27" t="s">
        <v>22</v>
      </c>
      <c r="X20" s="27" t="s">
        <v>23</v>
      </c>
      <c r="Y20" s="27">
        <f>U12</f>
        <v>-5.319080630756483</v>
      </c>
      <c r="Z20" s="27">
        <f>V20+$G$50</f>
        <v>2.629478527140165</v>
      </c>
      <c r="AA20" s="27" t="s">
        <v>24</v>
      </c>
      <c r="AB20" s="58"/>
    </row>
    <row r="21" spans="2:28" ht="12.75">
      <c r="B21" s="40"/>
      <c r="C21" s="40"/>
      <c r="D21" s="40"/>
      <c r="E21" s="40"/>
      <c r="F21" s="40"/>
      <c r="G21" s="20"/>
      <c r="H21" s="56"/>
      <c r="I21" s="40"/>
      <c r="J21" s="40"/>
      <c r="K21" s="40"/>
      <c r="L21" s="40"/>
      <c r="M21" s="40"/>
      <c r="N21" s="40"/>
      <c r="O21" s="45"/>
      <c r="P21" s="40"/>
      <c r="R21" s="48"/>
      <c r="S21" s="27" t="s">
        <v>28</v>
      </c>
      <c r="T21" s="27" t="s">
        <v>23</v>
      </c>
      <c r="U21" s="27">
        <f>Y13</f>
        <v>-3.1695027192431393</v>
      </c>
      <c r="V21" s="27">
        <f>Z13</f>
        <v>2.602046453126727</v>
      </c>
      <c r="W21" s="27" t="s">
        <v>22</v>
      </c>
      <c r="X21" s="27" t="s">
        <v>23</v>
      </c>
      <c r="Y21" s="27">
        <f>U14</f>
        <v>-1.0747889557566719</v>
      </c>
      <c r="Z21" s="27">
        <f>V21+$G$50</f>
        <v>2.629478527140165</v>
      </c>
      <c r="AA21" s="27" t="s">
        <v>24</v>
      </c>
      <c r="AB21" s="58"/>
    </row>
    <row r="22" spans="2:28" ht="12.75">
      <c r="B22" s="40" t="s">
        <v>220</v>
      </c>
      <c r="C22" s="40" t="s">
        <v>33</v>
      </c>
      <c r="D22" s="40" t="s">
        <v>221</v>
      </c>
      <c r="E22" s="40"/>
      <c r="F22" s="40" t="s">
        <v>33</v>
      </c>
      <c r="G22" s="20">
        <f>IF(ISBLANK(I22),IF(ISBLANK(K22),IF(ISBLANK(M22),IF(ISBLANK(O22),"NO VALUE!",O22),M22*25.4),K22*2.54),I22*G18/0.0254)</f>
        <v>0.36</v>
      </c>
      <c r="H22" s="56" t="s">
        <v>45</v>
      </c>
      <c r="I22" s="64">
        <v>5</v>
      </c>
      <c r="J22" s="40" t="s">
        <v>223</v>
      </c>
      <c r="K22" s="64"/>
      <c r="L22" s="40" t="s">
        <v>43</v>
      </c>
      <c r="M22" s="64"/>
      <c r="N22" s="40" t="s">
        <v>44</v>
      </c>
      <c r="O22" s="70"/>
      <c r="P22" s="40" t="s">
        <v>45</v>
      </c>
      <c r="R22" s="48"/>
      <c r="S22" s="27" t="s">
        <v>28</v>
      </c>
      <c r="T22" s="27" t="s">
        <v>23</v>
      </c>
      <c r="U22" s="27">
        <f>Y15</f>
        <v>1.0747889557566719</v>
      </c>
      <c r="V22" s="27">
        <f>Z15</f>
        <v>2.602046453126727</v>
      </c>
      <c r="W22" s="27" t="s">
        <v>22</v>
      </c>
      <c r="X22" s="27" t="s">
        <v>23</v>
      </c>
      <c r="Y22" s="27">
        <f>U16</f>
        <v>3.1695027192431393</v>
      </c>
      <c r="Z22" s="27">
        <f>V22+$G$50</f>
        <v>2.629478527140165</v>
      </c>
      <c r="AA22" s="27" t="s">
        <v>24</v>
      </c>
      <c r="AB22" s="58"/>
    </row>
    <row r="23" spans="2:28" ht="12.75">
      <c r="B23" s="40"/>
      <c r="C23" s="40"/>
      <c r="D23" s="40"/>
      <c r="E23" s="40"/>
      <c r="F23" s="40"/>
      <c r="G23" s="20"/>
      <c r="H23" s="56"/>
      <c r="I23" s="40"/>
      <c r="J23" s="40"/>
      <c r="K23" s="40"/>
      <c r="L23" s="40"/>
      <c r="M23" s="40"/>
      <c r="N23" s="40"/>
      <c r="O23" s="45"/>
      <c r="P23" s="40"/>
      <c r="R23" s="48"/>
      <c r="S23" s="27" t="s">
        <v>28</v>
      </c>
      <c r="T23" s="27" t="s">
        <v>23</v>
      </c>
      <c r="U23" s="27">
        <f>Y17</f>
        <v>5.319080630756483</v>
      </c>
      <c r="V23" s="27">
        <f>Z17</f>
        <v>2.602046453126727</v>
      </c>
      <c r="W23" s="27" t="s">
        <v>22</v>
      </c>
      <c r="X23" s="27" t="s">
        <v>23</v>
      </c>
      <c r="Y23" s="27">
        <f>U18</f>
        <v>7.4137943942429505</v>
      </c>
      <c r="Z23" s="27">
        <f>V23+$G$50</f>
        <v>2.629478527140165</v>
      </c>
      <c r="AA23" s="27" t="s">
        <v>24</v>
      </c>
      <c r="AB23" s="58"/>
    </row>
    <row r="24" spans="2:28" ht="12.75">
      <c r="B24" s="40" t="s">
        <v>69</v>
      </c>
      <c r="C24" s="40" t="s">
        <v>33</v>
      </c>
      <c r="D24" s="40" t="s">
        <v>70</v>
      </c>
      <c r="E24" s="40"/>
      <c r="F24" s="40" t="s">
        <v>33</v>
      </c>
      <c r="G24" s="71">
        <v>0.05</v>
      </c>
      <c r="H24" s="56" t="s">
        <v>58</v>
      </c>
      <c r="I24" s="40" t="s">
        <v>72</v>
      </c>
      <c r="J24" s="40"/>
      <c r="K24" s="40"/>
      <c r="L24" s="40"/>
      <c r="M24" s="40"/>
      <c r="N24" s="40"/>
      <c r="O24" s="45"/>
      <c r="P24" s="40"/>
      <c r="S24" s="27"/>
      <c r="T24" s="27"/>
      <c r="U24" s="27"/>
      <c r="V24" s="27"/>
      <c r="W24" s="27"/>
      <c r="X24" s="27"/>
      <c r="Y24" s="27"/>
      <c r="Z24" s="27"/>
      <c r="AA24" s="27"/>
      <c r="AB24" s="58"/>
    </row>
    <row r="25" spans="2:28" ht="12.75">
      <c r="B25" s="40"/>
      <c r="C25" s="40"/>
      <c r="D25" s="40"/>
      <c r="E25" s="40"/>
      <c r="F25" s="40"/>
      <c r="G25" s="61"/>
      <c r="H25" s="56"/>
      <c r="I25" s="40"/>
      <c r="J25" s="40"/>
      <c r="K25" s="40"/>
      <c r="L25" s="40"/>
      <c r="M25" s="40"/>
      <c r="N25" s="40"/>
      <c r="O25" s="45"/>
      <c r="P25" s="40"/>
      <c r="R25" s="48" t="s">
        <v>229</v>
      </c>
      <c r="S25" s="27" t="s">
        <v>28</v>
      </c>
      <c r="T25" s="27" t="s">
        <v>23</v>
      </c>
      <c r="U25" s="27">
        <f>-3*$G$42/16-$G$51/2</f>
        <v>-3.24827345922211</v>
      </c>
      <c r="V25" s="27">
        <f>V20</f>
        <v>2.602046453126727</v>
      </c>
      <c r="W25" s="27" t="s">
        <v>22</v>
      </c>
      <c r="X25" s="27" t="s">
        <v>23</v>
      </c>
      <c r="Y25" s="27">
        <f>-3*$G$42/16+$G$51/2</f>
        <v>-3.118164053277607</v>
      </c>
      <c r="Z25" s="27">
        <f>Z20+$G$22+0.5*$G$51</f>
        <v>3.0545332301124164</v>
      </c>
      <c r="AA25" s="27" t="s">
        <v>24</v>
      </c>
      <c r="AB25" s="58"/>
    </row>
    <row r="26" spans="2:28" ht="12.75">
      <c r="B26" s="40" t="s">
        <v>130</v>
      </c>
      <c r="C26" s="40" t="s">
        <v>33</v>
      </c>
      <c r="D26" s="40" t="s">
        <v>131</v>
      </c>
      <c r="E26" s="40"/>
      <c r="F26" s="40" t="s">
        <v>33</v>
      </c>
      <c r="G26" s="71">
        <v>0.2</v>
      </c>
      <c r="H26" s="56" t="s">
        <v>58</v>
      </c>
      <c r="I26" s="40" t="s">
        <v>133</v>
      </c>
      <c r="J26" s="40"/>
      <c r="K26" s="40"/>
      <c r="L26" s="40"/>
      <c r="M26" s="40"/>
      <c r="N26" s="40"/>
      <c r="O26" s="45"/>
      <c r="P26" s="40"/>
      <c r="R26" s="48"/>
      <c r="S26" s="27" t="s">
        <v>28</v>
      </c>
      <c r="T26" s="27" t="s">
        <v>23</v>
      </c>
      <c r="U26" s="27">
        <f>-1*$G$42/16-$G$51/2</f>
        <v>-1.1261276217222043</v>
      </c>
      <c r="V26" s="27">
        <f>V21</f>
        <v>2.602046453126727</v>
      </c>
      <c r="W26" s="27" t="s">
        <v>22</v>
      </c>
      <c r="X26" s="27" t="s">
        <v>23</v>
      </c>
      <c r="Y26" s="27">
        <f>-1*$G$42/16+$G$51/2</f>
        <v>-0.9960182157777013</v>
      </c>
      <c r="Z26" s="27">
        <f>Z21+$G$22+0.5*$G$51</f>
        <v>3.0545332301124164</v>
      </c>
      <c r="AA26" s="27" t="s">
        <v>24</v>
      </c>
      <c r="AB26" s="58"/>
    </row>
    <row r="27" spans="2:28" ht="12.75">
      <c r="B27" s="40" t="s">
        <v>155</v>
      </c>
      <c r="C27" s="40" t="s">
        <v>33</v>
      </c>
      <c r="D27" s="40" t="s">
        <v>156</v>
      </c>
      <c r="E27" s="40"/>
      <c r="F27" s="40" t="s">
        <v>33</v>
      </c>
      <c r="G27" s="71">
        <v>0.089</v>
      </c>
      <c r="H27" s="56" t="s">
        <v>58</v>
      </c>
      <c r="I27" s="40" t="s">
        <v>157</v>
      </c>
      <c r="J27" s="40"/>
      <c r="K27" s="40"/>
      <c r="L27" s="40"/>
      <c r="M27" s="40"/>
      <c r="N27" s="40"/>
      <c r="O27" s="45"/>
      <c r="P27" s="40"/>
      <c r="R27" s="48"/>
      <c r="S27" s="27" t="s">
        <v>28</v>
      </c>
      <c r="T27" s="27" t="s">
        <v>23</v>
      </c>
      <c r="U27" s="27">
        <f>1*$G$42/16-$G$51/2</f>
        <v>0.9960182157777013</v>
      </c>
      <c r="V27" s="27">
        <f>V22</f>
        <v>2.602046453126727</v>
      </c>
      <c r="W27" s="27" t="s">
        <v>22</v>
      </c>
      <c r="X27" s="27" t="s">
        <v>23</v>
      </c>
      <c r="Y27" s="27">
        <f>1*$G$42/16+$G$51/2</f>
        <v>1.1261276217222043</v>
      </c>
      <c r="Z27" s="27">
        <f>Z22+$G$22+0.5*$G$51</f>
        <v>3.0545332301124164</v>
      </c>
      <c r="AA27" s="27" t="s">
        <v>24</v>
      </c>
      <c r="AB27" s="58"/>
    </row>
    <row r="28" spans="2:28" ht="12.75">
      <c r="B28" s="40" t="s">
        <v>185</v>
      </c>
      <c r="C28" s="40" t="s">
        <v>33</v>
      </c>
      <c r="D28" s="40" t="s">
        <v>186</v>
      </c>
      <c r="E28" s="40"/>
      <c r="F28" s="40" t="s">
        <v>33</v>
      </c>
      <c r="G28" s="71">
        <f>G26/2</f>
        <v>0.1</v>
      </c>
      <c r="H28" s="56" t="s">
        <v>58</v>
      </c>
      <c r="I28" s="40"/>
      <c r="J28" s="40"/>
      <c r="K28" s="40"/>
      <c r="L28" s="40"/>
      <c r="M28" s="40"/>
      <c r="N28" s="40"/>
      <c r="O28" s="45"/>
      <c r="P28" s="40"/>
      <c r="R28" s="48"/>
      <c r="S28" s="27" t="s">
        <v>28</v>
      </c>
      <c r="T28" s="27" t="s">
        <v>23</v>
      </c>
      <c r="U28" s="27">
        <f>3*$G$42/16-$G$51/2</f>
        <v>3.118164053277607</v>
      </c>
      <c r="V28" s="27">
        <f>V23</f>
        <v>2.602046453126727</v>
      </c>
      <c r="W28" s="27" t="s">
        <v>22</v>
      </c>
      <c r="X28" s="27" t="s">
        <v>23</v>
      </c>
      <c r="Y28" s="27">
        <f>3*$G$42/16+$G$51/2</f>
        <v>3.24827345922211</v>
      </c>
      <c r="Z28" s="27">
        <f>Z23+$G$22+0.5*$G$51</f>
        <v>3.0545332301124164</v>
      </c>
      <c r="AA28" s="27" t="s">
        <v>24</v>
      </c>
      <c r="AB28" s="58"/>
    </row>
    <row r="29" spans="2:28" ht="12.75">
      <c r="B29" s="40"/>
      <c r="C29" s="40"/>
      <c r="D29" s="40"/>
      <c r="E29" s="40"/>
      <c r="F29" s="40"/>
      <c r="G29" s="20"/>
      <c r="H29" s="56"/>
      <c r="I29" s="40"/>
      <c r="J29" s="40"/>
      <c r="K29" s="40"/>
      <c r="L29" s="40"/>
      <c r="M29" s="40"/>
      <c r="N29" s="40"/>
      <c r="O29" s="45"/>
      <c r="P29" s="40"/>
      <c r="R29" s="48"/>
      <c r="S29" s="27"/>
      <c r="T29" s="27"/>
      <c r="U29" s="27"/>
      <c r="V29" s="27"/>
      <c r="W29" s="27"/>
      <c r="X29" s="27"/>
      <c r="Y29" s="27"/>
      <c r="Z29" s="27"/>
      <c r="AA29" s="27"/>
      <c r="AB29" s="58"/>
    </row>
    <row r="30" spans="2:28" ht="12.75">
      <c r="B30" s="40" t="s">
        <v>235</v>
      </c>
      <c r="C30" s="40" t="s">
        <v>33</v>
      </c>
      <c r="D30" s="40" t="s">
        <v>236</v>
      </c>
      <c r="E30" s="40"/>
      <c r="F30" s="40" t="s">
        <v>33</v>
      </c>
      <c r="G30" s="71">
        <f>G28+G26</f>
        <v>0.30000000000000004</v>
      </c>
      <c r="H30" s="56" t="s">
        <v>58</v>
      </c>
      <c r="I30" s="40" t="s">
        <v>237</v>
      </c>
      <c r="J30" s="40"/>
      <c r="K30" s="40"/>
      <c r="L30" s="40"/>
      <c r="M30" s="40"/>
      <c r="N30" s="40"/>
      <c r="O30" s="45"/>
      <c r="P30" s="40"/>
      <c r="R30" s="48" t="s">
        <v>75</v>
      </c>
      <c r="S30" s="27" t="s">
        <v>28</v>
      </c>
      <c r="T30" s="27" t="s">
        <v>23</v>
      </c>
      <c r="U30" s="27">
        <f>Y25</f>
        <v>-3.118164053277607</v>
      </c>
      <c r="V30" s="27">
        <f>Z25</f>
        <v>3.0545332301124164</v>
      </c>
      <c r="W30" s="27" t="s">
        <v>22</v>
      </c>
      <c r="X30" s="27" t="s">
        <v>23</v>
      </c>
      <c r="Y30" s="27">
        <f>U30+(0.5*G42/4-G59)/2-0.09</f>
        <v>-2.6087481002385298</v>
      </c>
      <c r="Z30" s="27">
        <f>V30+$G$51</f>
        <v>3.1846426360569193</v>
      </c>
      <c r="AA30" s="27" t="s">
        <v>24</v>
      </c>
      <c r="AB30" s="58"/>
    </row>
    <row r="31" spans="2:28" ht="12.75">
      <c r="B31" s="40" t="s">
        <v>55</v>
      </c>
      <c r="C31" s="40" t="s">
        <v>33</v>
      </c>
      <c r="D31" s="40" t="s">
        <v>56</v>
      </c>
      <c r="E31" s="40"/>
      <c r="F31" s="40" t="s">
        <v>33</v>
      </c>
      <c r="G31" s="71">
        <f>G28+G26</f>
        <v>0.30000000000000004</v>
      </c>
      <c r="H31" s="56" t="s">
        <v>58</v>
      </c>
      <c r="I31" s="40" t="s">
        <v>59</v>
      </c>
      <c r="J31" s="40"/>
      <c r="K31" s="40"/>
      <c r="L31" s="40"/>
      <c r="M31" s="40"/>
      <c r="N31" s="40"/>
      <c r="O31" s="45"/>
      <c r="P31" s="40"/>
      <c r="R31" s="48"/>
      <c r="S31" s="27" t="s">
        <v>28</v>
      </c>
      <c r="T31" s="27" t="s">
        <v>23</v>
      </c>
      <c r="U31" s="27">
        <f>U26</f>
        <v>-1.1261276217222043</v>
      </c>
      <c r="V31" s="27">
        <f>Z26</f>
        <v>3.0545332301124164</v>
      </c>
      <c r="W31" s="27" t="s">
        <v>22</v>
      </c>
      <c r="X31" s="27" t="s">
        <v>23</v>
      </c>
      <c r="Y31" s="27">
        <f>U31-(0.5*G42/4-G59)/2+0.09</f>
        <v>-1.6355435747612812</v>
      </c>
      <c r="Z31" s="27">
        <f>V31+$G$51</f>
        <v>3.1846426360569193</v>
      </c>
      <c r="AA31" s="27" t="s">
        <v>24</v>
      </c>
      <c r="AB31" s="58"/>
    </row>
    <row r="32" spans="2:28" ht="12.75">
      <c r="B32" s="40" t="s">
        <v>86</v>
      </c>
      <c r="C32" s="40" t="s">
        <v>33</v>
      </c>
      <c r="D32" s="40" t="s">
        <v>87</v>
      </c>
      <c r="E32" s="40"/>
      <c r="F32" s="40" t="s">
        <v>33</v>
      </c>
      <c r="G32" s="71">
        <v>0.01</v>
      </c>
      <c r="H32" s="56" t="s">
        <v>58</v>
      </c>
      <c r="I32" s="40" t="s">
        <v>88</v>
      </c>
      <c r="J32" s="40"/>
      <c r="K32" s="40"/>
      <c r="L32" s="40"/>
      <c r="M32" s="40"/>
      <c r="N32" s="40"/>
      <c r="O32" s="45"/>
      <c r="P32" s="40"/>
      <c r="R32" s="48"/>
      <c r="S32" s="27" t="s">
        <v>28</v>
      </c>
      <c r="T32" s="27" t="s">
        <v>23</v>
      </c>
      <c r="U32" s="27">
        <f>Y27</f>
        <v>1.1261276217222043</v>
      </c>
      <c r="V32" s="27">
        <f>Z27</f>
        <v>3.0545332301124164</v>
      </c>
      <c r="W32" s="27" t="s">
        <v>22</v>
      </c>
      <c r="X32" s="27" t="s">
        <v>23</v>
      </c>
      <c r="Y32" s="27">
        <f>U32+(0.5*G42/4-G59)/2-0.09</f>
        <v>1.6355435747612812</v>
      </c>
      <c r="Z32" s="27">
        <f>V32+$G$51</f>
        <v>3.1846426360569193</v>
      </c>
      <c r="AA32" s="27" t="s">
        <v>24</v>
      </c>
      <c r="AB32" s="58"/>
    </row>
    <row r="33" spans="7:28" ht="12.75">
      <c r="G33" s="31"/>
      <c r="R33" s="48"/>
      <c r="S33" s="27" t="s">
        <v>28</v>
      </c>
      <c r="T33" s="27" t="s">
        <v>23</v>
      </c>
      <c r="U33" s="27">
        <f>U28</f>
        <v>3.118164053277607</v>
      </c>
      <c r="V33" s="27">
        <f>Z28</f>
        <v>3.0545332301124164</v>
      </c>
      <c r="W33" s="27" t="s">
        <v>22</v>
      </c>
      <c r="X33" s="27" t="s">
        <v>23</v>
      </c>
      <c r="Y33" s="27">
        <f>U33-(0.5*G42/4-G59)/2+0.09</f>
        <v>2.6087481002385298</v>
      </c>
      <c r="Z33" s="27">
        <f>V33+$G$51</f>
        <v>3.1846426360569193</v>
      </c>
      <c r="AA33" s="27" t="s">
        <v>24</v>
      </c>
      <c r="AB33" s="58"/>
    </row>
    <row r="34" spans="1:28" ht="12.75">
      <c r="A34" s="8" t="s">
        <v>152</v>
      </c>
      <c r="B34" s="8"/>
      <c r="C34" s="8"/>
      <c r="D34" s="8"/>
      <c r="E34" s="8"/>
      <c r="F34" s="8"/>
      <c r="G34" s="10"/>
      <c r="H34" s="16"/>
      <c r="I34" s="8"/>
      <c r="J34" s="8"/>
      <c r="K34" s="8"/>
      <c r="L34" s="8"/>
      <c r="M34" s="8"/>
      <c r="N34" s="8"/>
      <c r="O34" s="8"/>
      <c r="P34" s="8"/>
      <c r="R34" s="48"/>
      <c r="S34" s="27"/>
      <c r="T34" s="27"/>
      <c r="U34" s="27"/>
      <c r="V34" s="27"/>
      <c r="W34" s="27"/>
      <c r="X34" s="27"/>
      <c r="Y34" s="27"/>
      <c r="Z34" s="27"/>
      <c r="AA34" s="27"/>
      <c r="AB34" s="58"/>
    </row>
    <row r="35" spans="7:28" ht="12.75">
      <c r="G35" s="31"/>
      <c r="R35" s="48" t="s">
        <v>129</v>
      </c>
      <c r="S35" s="27" t="s">
        <v>28</v>
      </c>
      <c r="T35" s="27" t="s">
        <v>23</v>
      </c>
      <c r="U35" s="27">
        <f>Y30</f>
        <v>-2.6087481002385298</v>
      </c>
      <c r="V35" s="27">
        <f>V30+(Z30-V30)/2-$G$58/2</f>
        <v>3.0728161719821245</v>
      </c>
      <c r="W35" s="27" t="s">
        <v>22</v>
      </c>
      <c r="X35" s="27" t="s">
        <v>23</v>
      </c>
      <c r="Y35" s="27">
        <f>U35+$G$59</f>
        <v>-1.6854341688167784</v>
      </c>
      <c r="Z35" s="27">
        <f>V30+(Z30-V30)/2+$G$58/2</f>
        <v>3.166359694187211</v>
      </c>
      <c r="AA35" s="27" t="s">
        <v>24</v>
      </c>
      <c r="AB35" s="58"/>
    </row>
    <row r="36" spans="2:28" ht="12.75">
      <c r="B36" s="1" t="s">
        <v>207</v>
      </c>
      <c r="C36" s="1" t="s">
        <v>33</v>
      </c>
      <c r="D36" s="1" t="s">
        <v>208</v>
      </c>
      <c r="F36" s="1" t="s">
        <v>33</v>
      </c>
      <c r="G36" s="51">
        <f>M36/0.0254</f>
        <v>4.938432082495964</v>
      </c>
      <c r="H36" s="21" t="s">
        <v>45</v>
      </c>
      <c r="I36" s="52">
        <f>M36*1000</f>
        <v>125.43617489539749</v>
      </c>
      <c r="J36" s="1" t="s">
        <v>44</v>
      </c>
      <c r="K36" s="53">
        <f>M36*100</f>
        <v>12.543617489539749</v>
      </c>
      <c r="L36" s="1" t="s">
        <v>43</v>
      </c>
      <c r="M36" s="49">
        <f>G8/G13</f>
        <v>0.1254361748953975</v>
      </c>
      <c r="N36" s="1" t="s">
        <v>35</v>
      </c>
      <c r="R36" s="48"/>
      <c r="S36" s="27" t="s">
        <v>28</v>
      </c>
      <c r="T36" s="27" t="s">
        <v>23</v>
      </c>
      <c r="U36" s="27">
        <f>Y36-$G$59</f>
        <v>-2.5588575061830325</v>
      </c>
      <c r="V36" s="27">
        <f>V31+(Z31-V31)/2-$G$58/2</f>
        <v>3.0728161719821245</v>
      </c>
      <c r="W36" s="27" t="s">
        <v>22</v>
      </c>
      <c r="X36" s="27" t="s">
        <v>23</v>
      </c>
      <c r="Y36" s="27">
        <f>Y31</f>
        <v>-1.6355435747612812</v>
      </c>
      <c r="Z36" s="27">
        <f>V31+(Z31-V31)/2+$G$58/2</f>
        <v>3.166359694187211</v>
      </c>
      <c r="AA36" s="27" t="s">
        <v>24</v>
      </c>
      <c r="AB36" s="58"/>
    </row>
    <row r="37" spans="13:28" ht="12.75">
      <c r="M37" s="51"/>
      <c r="R37" s="48"/>
      <c r="S37" s="27" t="s">
        <v>28</v>
      </c>
      <c r="T37" s="27" t="s">
        <v>23</v>
      </c>
      <c r="U37" s="27">
        <f>Y32</f>
        <v>1.6355435747612812</v>
      </c>
      <c r="V37" s="27">
        <f>V32+(Z32-V32)/2-$G$58/2</f>
        <v>3.0728161719821245</v>
      </c>
      <c r="W37" s="27" t="s">
        <v>22</v>
      </c>
      <c r="X37" s="27" t="s">
        <v>23</v>
      </c>
      <c r="Y37" s="27">
        <f>U37+$G$59</f>
        <v>2.5588575061830325</v>
      </c>
      <c r="Z37" s="27">
        <f>V32+(Z32-V32)/2+$G$58/2</f>
        <v>3.166359694187211</v>
      </c>
      <c r="AA37" s="27" t="s">
        <v>24</v>
      </c>
      <c r="AB37" s="58"/>
    </row>
    <row r="38" spans="1:28" ht="12.75">
      <c r="A38" s="8" t="s">
        <v>48</v>
      </c>
      <c r="B38" s="8"/>
      <c r="C38" s="8"/>
      <c r="D38" s="8"/>
      <c r="E38" s="8"/>
      <c r="F38" s="8"/>
      <c r="G38" s="10"/>
      <c r="H38" s="16"/>
      <c r="I38" s="8"/>
      <c r="J38" s="8"/>
      <c r="K38" s="8"/>
      <c r="L38" s="8"/>
      <c r="M38" s="15"/>
      <c r="N38" s="8"/>
      <c r="O38" s="8"/>
      <c r="P38" s="8"/>
      <c r="R38" s="48"/>
      <c r="S38" s="27" t="s">
        <v>28</v>
      </c>
      <c r="T38" s="27" t="s">
        <v>23</v>
      </c>
      <c r="U38" s="27">
        <f>Y38-$G$59</f>
        <v>1.6854341688167784</v>
      </c>
      <c r="V38" s="27">
        <f>V33+(Z33-V33)/2-$G$58/2</f>
        <v>3.0728161719821245</v>
      </c>
      <c r="W38" s="27" t="s">
        <v>22</v>
      </c>
      <c r="X38" s="27" t="s">
        <v>23</v>
      </c>
      <c r="Y38" s="27">
        <f>Y33</f>
        <v>2.6087481002385298</v>
      </c>
      <c r="Z38" s="27">
        <f>V33+(Z33-V33)/2+$G$58/2</f>
        <v>3.166359694187211</v>
      </c>
      <c r="AA38" s="27" t="s">
        <v>24</v>
      </c>
      <c r="AB38" s="58"/>
    </row>
    <row r="39" spans="7:28" ht="12.75">
      <c r="G39" s="31"/>
      <c r="M39" s="51"/>
      <c r="R39" s="48"/>
      <c r="S39" s="27"/>
      <c r="T39" s="27"/>
      <c r="U39" s="27"/>
      <c r="V39" s="27"/>
      <c r="W39" s="27"/>
      <c r="X39" s="27"/>
      <c r="Y39" s="27"/>
      <c r="Z39" s="27"/>
      <c r="AA39" s="27"/>
      <c r="AB39" s="58"/>
    </row>
    <row r="40" spans="2:28" ht="12.75">
      <c r="B40" s="12" t="s">
        <v>112</v>
      </c>
      <c r="C40" s="12" t="s">
        <v>33</v>
      </c>
      <c r="D40" s="12" t="s">
        <v>113</v>
      </c>
      <c r="E40" s="12"/>
      <c r="F40" s="12" t="s">
        <v>33</v>
      </c>
      <c r="G40" s="26">
        <f>M40/0.0254</f>
        <v>5.404000000000001</v>
      </c>
      <c r="H40" s="23" t="s">
        <v>45</v>
      </c>
      <c r="I40" s="53">
        <f>M40*1000</f>
        <v>137.26160000000002</v>
      </c>
      <c r="J40" s="1" t="s">
        <v>44</v>
      </c>
      <c r="K40" s="51">
        <f>M40*100</f>
        <v>13.726160000000002</v>
      </c>
      <c r="L40" s="1" t="s">
        <v>43</v>
      </c>
      <c r="M40" s="42">
        <f>G16+2*G17+2*G18</f>
        <v>0.1372616</v>
      </c>
      <c r="N40" s="1" t="s">
        <v>35</v>
      </c>
      <c r="R40" s="48" t="s">
        <v>46</v>
      </c>
      <c r="S40" s="27" t="s">
        <v>28</v>
      </c>
      <c r="T40" s="27" t="s">
        <v>23</v>
      </c>
      <c r="U40" s="27">
        <f>Y35</f>
        <v>-1.6854341688167784</v>
      </c>
      <c r="V40" s="27">
        <f>V30+(Z30-V30)/2-$G$49/2</f>
        <v>3.0873313668560094</v>
      </c>
      <c r="W40" s="27" t="s">
        <v>22</v>
      </c>
      <c r="X40" s="27" t="s">
        <v>23</v>
      </c>
      <c r="Y40" s="27">
        <f>U36</f>
        <v>-2.5588575061830325</v>
      </c>
      <c r="Z40" s="27">
        <f>V30+(Z30-V30)/2+$G$49/2</f>
        <v>3.1518444993133263</v>
      </c>
      <c r="AA40" s="27" t="s">
        <v>24</v>
      </c>
      <c r="AB40" s="58"/>
    </row>
    <row r="41" spans="2:28" ht="12.75">
      <c r="B41" s="12" t="s">
        <v>140</v>
      </c>
      <c r="C41" s="12" t="s">
        <v>33</v>
      </c>
      <c r="D41" s="12" t="s">
        <v>141</v>
      </c>
      <c r="E41" s="12"/>
      <c r="F41" s="12" t="s">
        <v>33</v>
      </c>
      <c r="G41" s="26">
        <f>M41/0.0254</f>
        <v>1.582046453126727</v>
      </c>
      <c r="H41" s="23" t="s">
        <v>45</v>
      </c>
      <c r="I41" s="53">
        <f>M41*1000</f>
        <v>40.183979909418866</v>
      </c>
      <c r="J41" s="1" t="s">
        <v>44</v>
      </c>
      <c r="K41" s="51">
        <f>M41*100</f>
        <v>4.018397990941887</v>
      </c>
      <c r="L41" s="1" t="s">
        <v>43</v>
      </c>
      <c r="M41" s="42">
        <f>B129</f>
        <v>0.04018397990941887</v>
      </c>
      <c r="N41" s="1" t="s">
        <v>35</v>
      </c>
      <c r="R41" s="48"/>
      <c r="S41" s="27" t="s">
        <v>28</v>
      </c>
      <c r="T41" s="27" t="s">
        <v>23</v>
      </c>
      <c r="U41" s="27">
        <f>Y37</f>
        <v>2.5588575061830325</v>
      </c>
      <c r="V41" s="27">
        <f>V31+(Z31-V31)/2-$G$49/2</f>
        <v>3.0873313668560094</v>
      </c>
      <c r="W41" s="27" t="s">
        <v>22</v>
      </c>
      <c r="X41" s="27" t="s">
        <v>23</v>
      </c>
      <c r="Y41" s="27">
        <f>U38</f>
        <v>1.6854341688167784</v>
      </c>
      <c r="Z41" s="27">
        <f>V31+(Z31-V31)/2+$G$49/2</f>
        <v>3.1518444993133263</v>
      </c>
      <c r="AA41" s="27" t="s">
        <v>24</v>
      </c>
      <c r="AB41" s="58"/>
    </row>
    <row r="42" spans="2:28" ht="12.75">
      <c r="B42" s="12" t="s">
        <v>166</v>
      </c>
      <c r="C42" s="12" t="s">
        <v>33</v>
      </c>
      <c r="D42" s="12" t="s">
        <v>167</v>
      </c>
      <c r="E42" s="12"/>
      <c r="F42" s="12" t="s">
        <v>33</v>
      </c>
      <c r="G42" s="26">
        <f>M42/0.0254</f>
        <v>16.977166699999245</v>
      </c>
      <c r="H42" s="23" t="s">
        <v>45</v>
      </c>
      <c r="I42" s="53">
        <f>M42*1000</f>
        <v>431.22003417998076</v>
      </c>
      <c r="J42" s="1" t="s">
        <v>44</v>
      </c>
      <c r="K42" s="51">
        <f>M42*100</f>
        <v>43.12200341799808</v>
      </c>
      <c r="L42" s="1" t="s">
        <v>43</v>
      </c>
      <c r="M42" s="42">
        <f>PI()*$M$40</f>
        <v>0.4312200341799808</v>
      </c>
      <c r="N42" s="1" t="s">
        <v>35</v>
      </c>
      <c r="S42" s="27"/>
      <c r="T42" s="27"/>
      <c r="U42" s="27"/>
      <c r="V42" s="27"/>
      <c r="W42" s="27"/>
      <c r="X42" s="27"/>
      <c r="Y42" s="27"/>
      <c r="Z42" s="27"/>
      <c r="AA42" s="27"/>
      <c r="AB42" s="58"/>
    </row>
    <row r="43" spans="2:28" ht="12.75">
      <c r="B43" s="12" t="s">
        <v>195</v>
      </c>
      <c r="C43" s="12" t="s">
        <v>33</v>
      </c>
      <c r="D43" s="12" t="s">
        <v>196</v>
      </c>
      <c r="E43" s="12"/>
      <c r="F43" s="12" t="s">
        <v>33</v>
      </c>
      <c r="G43" s="12">
        <f>IF(I43&lt;1,1,IF(I43&lt;2,2,IF(I43&lt;4,4,IF(I43&lt;8,8,IF(I43&lt;16,16,"Error! Too many Lambda")))))</f>
        <v>8</v>
      </c>
      <c r="H43" s="23" t="s">
        <v>198</v>
      </c>
      <c r="I43" s="53">
        <f>M42/(M36/SQRT($G$12))</f>
        <v>5.099793634158055</v>
      </c>
      <c r="J43" s="1" t="s">
        <v>198</v>
      </c>
      <c r="K43" s="51"/>
      <c r="M43" s="42"/>
      <c r="R43" s="48" t="s">
        <v>238</v>
      </c>
      <c r="S43" s="27" t="s">
        <v>28</v>
      </c>
      <c r="T43" s="27" t="s">
        <v>23</v>
      </c>
      <c r="U43" s="27">
        <f>-$G$42/4-$G$48/2</f>
        <v>-4.355192801990232</v>
      </c>
      <c r="V43" s="27">
        <f>Z40</f>
        <v>3.1518444993133263</v>
      </c>
      <c r="W43" s="27" t="s">
        <v>22</v>
      </c>
      <c r="X43" s="27" t="s">
        <v>23</v>
      </c>
      <c r="Y43" s="27">
        <f>-$G$42/4+$G$48/2</f>
        <v>-4.13339054800939</v>
      </c>
      <c r="Z43" s="27">
        <f>Z31+$G$22</f>
        <v>3.544642636056919</v>
      </c>
      <c r="AA43" s="27" t="s">
        <v>24</v>
      </c>
      <c r="AB43" s="58"/>
    </row>
    <row r="44" spans="2:28" ht="12.75">
      <c r="B44" s="12" t="s">
        <v>199</v>
      </c>
      <c r="C44" s="12" t="s">
        <v>33</v>
      </c>
      <c r="D44" s="12" t="s">
        <v>224</v>
      </c>
      <c r="E44" s="12"/>
      <c r="F44" s="12" t="s">
        <v>33</v>
      </c>
      <c r="G44" s="24">
        <f>IF(ISBLANK($G$14),G43*60*M36/M42,$G$14)</f>
        <v>139.62561842537417</v>
      </c>
      <c r="H44" s="23" t="s">
        <v>99</v>
      </c>
      <c r="I44" s="53"/>
      <c r="K44" s="51"/>
      <c r="M44" s="42"/>
      <c r="R44" s="48"/>
      <c r="S44" s="27" t="s">
        <v>28</v>
      </c>
      <c r="T44" s="27" t="s">
        <v>23</v>
      </c>
      <c r="U44" s="27">
        <f>$G$42/4-$G$48/2</f>
        <v>4.13339054800939</v>
      </c>
      <c r="V44" s="27">
        <f>Z41</f>
        <v>3.1518444993133263</v>
      </c>
      <c r="W44" s="27" t="s">
        <v>22</v>
      </c>
      <c r="X44" s="27" t="s">
        <v>23</v>
      </c>
      <c r="Y44" s="27">
        <f>$G$42/4+$G$48/2</f>
        <v>4.355192801990232</v>
      </c>
      <c r="Z44" s="27">
        <f>Z32+$G$22</f>
        <v>3.544642636056919</v>
      </c>
      <c r="AA44" s="27" t="s">
        <v>24</v>
      </c>
      <c r="AB44" s="58"/>
    </row>
    <row r="45" spans="9:28" ht="12.75">
      <c r="I45" s="53"/>
      <c r="K45" s="51"/>
      <c r="M45" s="42"/>
      <c r="R45" s="48"/>
      <c r="S45" s="27"/>
      <c r="T45" s="27"/>
      <c r="U45" s="27"/>
      <c r="V45" s="27"/>
      <c r="W45" s="27"/>
      <c r="X45" s="27"/>
      <c r="Y45" s="27"/>
      <c r="Z45" s="27"/>
      <c r="AA45" s="27"/>
      <c r="AB45" s="58"/>
    </row>
    <row r="46" spans="1:28" ht="12.75">
      <c r="A46" s="8" t="s">
        <v>74</v>
      </c>
      <c r="B46" s="8"/>
      <c r="C46" s="8"/>
      <c r="D46" s="8"/>
      <c r="E46" s="8"/>
      <c r="F46" s="8"/>
      <c r="G46" s="8"/>
      <c r="H46" s="16"/>
      <c r="I46" s="17"/>
      <c r="J46" s="8"/>
      <c r="K46" s="15"/>
      <c r="L46" s="8"/>
      <c r="M46" s="22"/>
      <c r="N46" s="8"/>
      <c r="O46" s="8"/>
      <c r="P46" s="8"/>
      <c r="R46" s="48" t="s">
        <v>36</v>
      </c>
      <c r="S46" s="27" t="s">
        <v>28</v>
      </c>
      <c r="T46" s="27" t="s">
        <v>23</v>
      </c>
      <c r="U46" s="27">
        <f>Y43</f>
        <v>-4.13339054800939</v>
      </c>
      <c r="V46" s="27">
        <f>Z43</f>
        <v>3.544642636056919</v>
      </c>
      <c r="W46" s="27" t="s">
        <v>22</v>
      </c>
      <c r="X46" s="27" t="s">
        <v>23</v>
      </c>
      <c r="Y46" s="27">
        <f>U46+(U44-Y43-2*$G$59)/3</f>
        <v>-1.993339470284298</v>
      </c>
      <c r="Z46" s="27">
        <f>V46+$G$48</f>
        <v>3.766444890037762</v>
      </c>
      <c r="AA46" s="27" t="s">
        <v>24</v>
      </c>
      <c r="AB46" s="58"/>
    </row>
    <row r="47" spans="9:28" ht="12.75">
      <c r="I47" s="53"/>
      <c r="K47" s="51"/>
      <c r="M47" s="42"/>
      <c r="R47" s="48"/>
      <c r="S47" s="27" t="s">
        <v>28</v>
      </c>
      <c r="T47" s="27" t="s">
        <v>23</v>
      </c>
      <c r="U47" s="27">
        <f>U44</f>
        <v>4.13339054800939</v>
      </c>
      <c r="V47" s="27">
        <f>Z44</f>
        <v>3.544642636056919</v>
      </c>
      <c r="W47" s="27" t="s">
        <v>22</v>
      </c>
      <c r="X47" s="27" t="s">
        <v>23</v>
      </c>
      <c r="Y47" s="27">
        <f>U47-(U44-Y43-2*$G$59)/3</f>
        <v>1.993339470284298</v>
      </c>
      <c r="Z47" s="27">
        <f>V47+$G$48</f>
        <v>3.766444890037762</v>
      </c>
      <c r="AA47" s="27" t="s">
        <v>24</v>
      </c>
      <c r="AB47" s="58"/>
    </row>
    <row r="48" spans="2:28" ht="12.75">
      <c r="B48" s="12" t="s">
        <v>32</v>
      </c>
      <c r="C48" s="12" t="s">
        <v>33</v>
      </c>
      <c r="D48" s="12" t="s">
        <v>134</v>
      </c>
      <c r="E48" s="12"/>
      <c r="F48" s="12" t="s">
        <v>33</v>
      </c>
      <c r="G48" s="26">
        <f>G74/0.0254</f>
        <v>0.22180225398084272</v>
      </c>
      <c r="H48" s="23" t="s">
        <v>45</v>
      </c>
      <c r="I48" s="53">
        <f>G48*25.4</f>
        <v>5.633777251113405</v>
      </c>
      <c r="J48" s="1" t="s">
        <v>44</v>
      </c>
      <c r="K48" s="51">
        <f>G48*2.54</f>
        <v>0.5633777251113405</v>
      </c>
      <c r="L48" s="1" t="s">
        <v>43</v>
      </c>
      <c r="M48" s="42">
        <f>G48*0.0254</f>
        <v>0.005633777251113405</v>
      </c>
      <c r="N48" s="1" t="s">
        <v>35</v>
      </c>
      <c r="R48" s="48"/>
      <c r="S48" s="27"/>
      <c r="T48" s="27"/>
      <c r="U48" s="27"/>
      <c r="V48" s="27"/>
      <c r="W48" s="27"/>
      <c r="X48" s="27"/>
      <c r="Y48" s="27"/>
      <c r="Z48" s="27"/>
      <c r="AA48" s="27"/>
      <c r="AB48" s="58"/>
    </row>
    <row r="49" spans="2:28" ht="12.75">
      <c r="B49" s="12" t="s">
        <v>123</v>
      </c>
      <c r="C49" s="12" t="s">
        <v>33</v>
      </c>
      <c r="D49" s="12" t="s">
        <v>160</v>
      </c>
      <c r="E49" s="12"/>
      <c r="F49" s="12" t="s">
        <v>33</v>
      </c>
      <c r="G49" s="26">
        <f>G84/0.0254</f>
        <v>0.06451313245731712</v>
      </c>
      <c r="H49" s="23" t="s">
        <v>45</v>
      </c>
      <c r="I49" s="53">
        <f>G49*25.4</f>
        <v>1.6386335644158547</v>
      </c>
      <c r="J49" s="1" t="s">
        <v>44</v>
      </c>
      <c r="K49" s="51">
        <f>G49*2.54</f>
        <v>0.16386335644158548</v>
      </c>
      <c r="L49" s="1" t="s">
        <v>43</v>
      </c>
      <c r="M49" s="42">
        <f>G49*0.0254</f>
        <v>0.0016386335644158546</v>
      </c>
      <c r="N49" s="1" t="s">
        <v>35</v>
      </c>
      <c r="R49" s="48" t="s">
        <v>27</v>
      </c>
      <c r="S49" s="27" t="s">
        <v>28</v>
      </c>
      <c r="T49" s="27" t="s">
        <v>23</v>
      </c>
      <c r="U49" s="27">
        <f>Y46</f>
        <v>-1.993339470284298</v>
      </c>
      <c r="V49" s="27">
        <f>Z46+(V46-Z46)/2-$G$54/2</f>
        <v>3.59192960583815</v>
      </c>
      <c r="W49" s="27" t="s">
        <v>22</v>
      </c>
      <c r="X49" s="27" t="s">
        <v>23</v>
      </c>
      <c r="Y49" s="27">
        <f>U49+$G$55</f>
        <v>-1.0540677830740932</v>
      </c>
      <c r="Z49" s="27">
        <f>V49+$G$54</f>
        <v>3.7191579202565315</v>
      </c>
      <c r="AA49" s="27" t="s">
        <v>24</v>
      </c>
      <c r="AB49" s="58"/>
    </row>
    <row r="50" spans="2:28" ht="12.75">
      <c r="B50" s="12" t="s">
        <v>114</v>
      </c>
      <c r="C50" s="12" t="s">
        <v>33</v>
      </c>
      <c r="D50" s="12" t="s">
        <v>190</v>
      </c>
      <c r="E50" s="12"/>
      <c r="F50" s="12" t="s">
        <v>33</v>
      </c>
      <c r="G50" s="26">
        <f>G91/0.0254</f>
        <v>0.027432074013437967</v>
      </c>
      <c r="H50" s="23" t="s">
        <v>45</v>
      </c>
      <c r="I50" s="53">
        <f>G50*25.4</f>
        <v>0.6967746799413244</v>
      </c>
      <c r="J50" s="1" t="s">
        <v>44</v>
      </c>
      <c r="K50" s="51">
        <f>G50*2.54</f>
        <v>0.06967746799413244</v>
      </c>
      <c r="L50" s="1" t="s">
        <v>43</v>
      </c>
      <c r="M50" s="42">
        <f>G50*0.0254</f>
        <v>0.0006967746799413243</v>
      </c>
      <c r="N50" s="1" t="s">
        <v>35</v>
      </c>
      <c r="R50" s="48"/>
      <c r="S50" s="27" t="s">
        <v>28</v>
      </c>
      <c r="T50" s="27" t="s">
        <v>23</v>
      </c>
      <c r="U50" s="27">
        <f>Y47</f>
        <v>1.993339470284298</v>
      </c>
      <c r="V50" s="27">
        <f>Z47+(V47-Z47)/2-$G$54/2</f>
        <v>3.59192960583815</v>
      </c>
      <c r="W50" s="27" t="s">
        <v>22</v>
      </c>
      <c r="X50" s="27" t="s">
        <v>23</v>
      </c>
      <c r="Y50" s="27">
        <f>U50-$G$55</f>
        <v>1.0540677830740932</v>
      </c>
      <c r="Z50" s="27">
        <f>V50+$G$54</f>
        <v>3.7191579202565315</v>
      </c>
      <c r="AA50" s="27" t="s">
        <v>24</v>
      </c>
      <c r="AB50" s="58"/>
    </row>
    <row r="51" spans="2:28" ht="12.75">
      <c r="B51" s="12" t="s">
        <v>217</v>
      </c>
      <c r="C51" s="12" t="s">
        <v>33</v>
      </c>
      <c r="D51" s="12" t="s">
        <v>218</v>
      </c>
      <c r="E51" s="12"/>
      <c r="F51" s="12" t="s">
        <v>33</v>
      </c>
      <c r="G51" s="26">
        <f>G101/0.0254</f>
        <v>0.13010940594450296</v>
      </c>
      <c r="H51" s="23" t="s">
        <v>45</v>
      </c>
      <c r="I51" s="53">
        <f>G51*25.4</f>
        <v>3.304778910990375</v>
      </c>
      <c r="J51" s="1" t="s">
        <v>44</v>
      </c>
      <c r="K51" s="51">
        <f>G51*2.54</f>
        <v>0.3304778910990375</v>
      </c>
      <c r="L51" s="1" t="s">
        <v>43</v>
      </c>
      <c r="M51" s="42">
        <f>G51*0.0254</f>
        <v>0.003304778910990375</v>
      </c>
      <c r="N51" s="1" t="s">
        <v>35</v>
      </c>
      <c r="R51" s="48"/>
      <c r="S51" s="27"/>
      <c r="T51" s="27"/>
      <c r="U51" s="27"/>
      <c r="V51" s="27"/>
      <c r="W51" s="27"/>
      <c r="X51" s="27"/>
      <c r="Y51" s="27"/>
      <c r="Z51" s="27"/>
      <c r="AA51" s="27"/>
      <c r="AB51" s="58"/>
    </row>
    <row r="52" spans="9:28" ht="12.75">
      <c r="I52" s="53"/>
      <c r="K52" s="51"/>
      <c r="M52" s="42"/>
      <c r="R52" s="48" t="s">
        <v>46</v>
      </c>
      <c r="S52" s="27" t="s">
        <v>28</v>
      </c>
      <c r="T52" s="27" t="s">
        <v>23</v>
      </c>
      <c r="U52" s="27">
        <f>Y49</f>
        <v>-1.0540677830740932</v>
      </c>
      <c r="V52" s="27">
        <f>V49+(Z49-V49)/2-$G$49/2</f>
        <v>3.623287196818682</v>
      </c>
      <c r="W52" s="27" t="s">
        <v>22</v>
      </c>
      <c r="X52" s="27" t="s">
        <v>23</v>
      </c>
      <c r="Y52" s="27">
        <f>Y50</f>
        <v>1.0540677830740932</v>
      </c>
      <c r="Z52" s="27">
        <f>V49+(Z49-V49)/2+$G$49/2</f>
        <v>3.687800329275999</v>
      </c>
      <c r="AA52" s="27" t="s">
        <v>24</v>
      </c>
      <c r="AB52" s="58"/>
    </row>
    <row r="53" spans="2:28" ht="12.75">
      <c r="B53" s="12" t="s">
        <v>64</v>
      </c>
      <c r="C53" s="12" t="s">
        <v>33</v>
      </c>
      <c r="D53" s="12" t="s">
        <v>65</v>
      </c>
      <c r="E53" s="12"/>
      <c r="F53" s="12" t="s">
        <v>33</v>
      </c>
      <c r="G53" s="24">
        <f>G105</f>
        <v>70.71067811865476</v>
      </c>
      <c r="H53" s="23" t="s">
        <v>67</v>
      </c>
      <c r="I53" s="53"/>
      <c r="K53" s="51"/>
      <c r="M53" s="42"/>
      <c r="S53" s="27"/>
      <c r="T53" s="27"/>
      <c r="U53" s="27"/>
      <c r="V53" s="27"/>
      <c r="W53" s="27"/>
      <c r="X53" s="27"/>
      <c r="Y53" s="27"/>
      <c r="Z53" s="27"/>
      <c r="AA53" s="27"/>
      <c r="AB53" s="58"/>
    </row>
    <row r="54" spans="2:28" ht="12.75">
      <c r="B54" s="12" t="s">
        <v>95</v>
      </c>
      <c r="C54" s="12" t="s">
        <v>33</v>
      </c>
      <c r="D54" s="12" t="s">
        <v>96</v>
      </c>
      <c r="E54" s="12"/>
      <c r="F54" s="12" t="s">
        <v>33</v>
      </c>
      <c r="G54" s="26">
        <f>G110/0.0254</f>
        <v>0.12722831441838153</v>
      </c>
      <c r="H54" s="23" t="s">
        <v>45</v>
      </c>
      <c r="I54" s="53">
        <f>G54*25.4</f>
        <v>3.231599186226891</v>
      </c>
      <c r="J54" s="1" t="s">
        <v>44</v>
      </c>
      <c r="K54" s="51">
        <f>G54*2.54</f>
        <v>0.3231599186226891</v>
      </c>
      <c r="L54" s="1" t="s">
        <v>43</v>
      </c>
      <c r="M54" s="42">
        <f>G54*0.0254</f>
        <v>0.0032315991862268906</v>
      </c>
      <c r="N54" s="1" t="s">
        <v>35</v>
      </c>
      <c r="R54" s="48" t="s">
        <v>105</v>
      </c>
      <c r="S54" s="27" t="s">
        <v>106</v>
      </c>
      <c r="T54" s="27" t="s">
        <v>107</v>
      </c>
      <c r="U54" s="27">
        <f>$G$24</f>
        <v>0.05</v>
      </c>
      <c r="V54" s="27" t="s">
        <v>108</v>
      </c>
      <c r="W54" s="27"/>
      <c r="X54" s="27"/>
      <c r="Y54" s="27"/>
      <c r="Z54" s="27"/>
      <c r="AA54" s="27"/>
      <c r="AB54" s="58"/>
    </row>
    <row r="55" spans="2:28" ht="12.75">
      <c r="B55" s="12" t="s">
        <v>119</v>
      </c>
      <c r="C55" s="12" t="s">
        <v>33</v>
      </c>
      <c r="D55" s="12" t="s">
        <v>126</v>
      </c>
      <c r="E55" s="12"/>
      <c r="F55" s="12" t="s">
        <v>33</v>
      </c>
      <c r="G55" s="26">
        <f>G113/0.0254</f>
        <v>0.9392716872102047</v>
      </c>
      <c r="H55" s="23" t="s">
        <v>45</v>
      </c>
      <c r="I55" s="53">
        <f>G55*25.4</f>
        <v>23.857500855139197</v>
      </c>
      <c r="J55" s="1" t="s">
        <v>44</v>
      </c>
      <c r="K55" s="51">
        <f>G55*2.54</f>
        <v>2.38575008551392</v>
      </c>
      <c r="L55" s="1" t="s">
        <v>43</v>
      </c>
      <c r="M55" s="42">
        <f>G55*0.0254</f>
        <v>0.0238575008551392</v>
      </c>
      <c r="N55" s="1" t="s">
        <v>35</v>
      </c>
      <c r="R55" s="48"/>
      <c r="S55" s="27" t="s">
        <v>138</v>
      </c>
      <c r="T55" s="27" t="s">
        <v>139</v>
      </c>
      <c r="U55" s="27" t="s">
        <v>23</v>
      </c>
      <c r="V55" s="27">
        <v>0</v>
      </c>
      <c r="W55" s="27">
        <f>V52+(Z52-V52)/2</f>
        <v>3.6555437630473406</v>
      </c>
      <c r="X55" s="27" t="s">
        <v>24</v>
      </c>
      <c r="Y55" s="27"/>
      <c r="Z55" s="27"/>
      <c r="AA55" s="27"/>
      <c r="AB55" s="58"/>
    </row>
    <row r="56" spans="9:28" ht="12.75">
      <c r="I56" s="53"/>
      <c r="K56" s="51"/>
      <c r="M56" s="42"/>
      <c r="S56" s="27"/>
      <c r="T56" s="27"/>
      <c r="U56" s="27"/>
      <c r="V56" s="27"/>
      <c r="W56" s="27"/>
      <c r="X56" s="27"/>
      <c r="Y56" s="27"/>
      <c r="Z56" s="27"/>
      <c r="AA56" s="27"/>
      <c r="AB56" s="58"/>
    </row>
    <row r="57" spans="2:28" ht="12.75">
      <c r="B57" s="12" t="s">
        <v>182</v>
      </c>
      <c r="C57" s="12" t="s">
        <v>33</v>
      </c>
      <c r="D57" s="12" t="s">
        <v>183</v>
      </c>
      <c r="E57" s="12"/>
      <c r="F57" s="12" t="s">
        <v>33</v>
      </c>
      <c r="G57" s="24">
        <f>G117</f>
        <v>83.55405987304691</v>
      </c>
      <c r="H57" s="23" t="s">
        <v>67</v>
      </c>
      <c r="I57" s="53"/>
      <c r="K57" s="51"/>
      <c r="M57" s="42"/>
      <c r="R57" s="48" t="s">
        <v>193</v>
      </c>
      <c r="S57" s="27" t="s">
        <v>25</v>
      </c>
      <c r="T57" s="27">
        <v>0.01</v>
      </c>
      <c r="U57" s="27" t="s">
        <v>23</v>
      </c>
      <c r="V57" s="27">
        <v>-9</v>
      </c>
      <c r="W57" s="27">
        <v>0</v>
      </c>
      <c r="X57" s="27" t="s">
        <v>194</v>
      </c>
      <c r="Y57" s="27" t="s">
        <v>23</v>
      </c>
      <c r="Z57" s="27">
        <v>9</v>
      </c>
      <c r="AA57" s="27">
        <v>0</v>
      </c>
      <c r="AB57" s="58" t="s">
        <v>24</v>
      </c>
    </row>
    <row r="58" spans="2:41" ht="12.75">
      <c r="B58" s="12" t="s">
        <v>212</v>
      </c>
      <c r="C58" s="12" t="s">
        <v>33</v>
      </c>
      <c r="D58" s="12" t="s">
        <v>213</v>
      </c>
      <c r="E58" s="12"/>
      <c r="F58" s="12" t="s">
        <v>33</v>
      </c>
      <c r="G58" s="26">
        <f>G122/0.0254</f>
        <v>0.09354352220508631</v>
      </c>
      <c r="H58" s="23" t="s">
        <v>45</v>
      </c>
      <c r="I58" s="53">
        <f>G58*25.4</f>
        <v>2.376005464009192</v>
      </c>
      <c r="J58" s="1" t="s">
        <v>44</v>
      </c>
      <c r="K58" s="51">
        <f>G58*2.54</f>
        <v>0.23760054640091924</v>
      </c>
      <c r="L58" s="1" t="s">
        <v>43</v>
      </c>
      <c r="M58" s="42">
        <f>G58*0.0254</f>
        <v>0.0023760054640091922</v>
      </c>
      <c r="N58" s="1" t="s">
        <v>35</v>
      </c>
      <c r="R58" s="48"/>
      <c r="S58" s="27" t="s">
        <v>25</v>
      </c>
      <c r="T58" s="27">
        <v>0.01</v>
      </c>
      <c r="U58" s="27" t="s">
        <v>23</v>
      </c>
      <c r="V58" s="27">
        <v>-9</v>
      </c>
      <c r="W58" s="27">
        <f>$W$55+$G$48/2+$G$22+$G$31</f>
        <v>4.426444890037762</v>
      </c>
      <c r="X58" s="27" t="s">
        <v>22</v>
      </c>
      <c r="Y58" s="27" t="s">
        <v>23</v>
      </c>
      <c r="Z58" s="27">
        <v>9</v>
      </c>
      <c r="AA58" s="27">
        <f>W58</f>
        <v>4.426444890037762</v>
      </c>
      <c r="AB58" s="58" t="s">
        <v>24</v>
      </c>
      <c r="AO58" s="1"/>
    </row>
    <row r="59" spans="2:28" ht="12.75">
      <c r="B59" s="12" t="s">
        <v>233</v>
      </c>
      <c r="C59" s="12" t="s">
        <v>33</v>
      </c>
      <c r="D59" s="12" t="s">
        <v>126</v>
      </c>
      <c r="E59" s="12"/>
      <c r="F59" s="12" t="s">
        <v>33</v>
      </c>
      <c r="G59" s="26">
        <f>G125/0.0254</f>
        <v>0.9233139314217513</v>
      </c>
      <c r="H59" s="23" t="s">
        <v>45</v>
      </c>
      <c r="I59" s="53">
        <f>G59*25.4</f>
        <v>23.45217385811248</v>
      </c>
      <c r="J59" s="1" t="s">
        <v>44</v>
      </c>
      <c r="K59" s="51">
        <f>G59*2.54</f>
        <v>2.3452173858112486</v>
      </c>
      <c r="L59" s="1" t="s">
        <v>43</v>
      </c>
      <c r="M59" s="42">
        <f>G59*0.0254</f>
        <v>0.023452173858112484</v>
      </c>
      <c r="N59" s="1" t="s">
        <v>35</v>
      </c>
      <c r="S59" s="27"/>
      <c r="T59" s="27"/>
      <c r="U59" s="27"/>
      <c r="V59" s="27"/>
      <c r="W59" s="27"/>
      <c r="X59" s="27"/>
      <c r="Y59" s="27"/>
      <c r="Z59" s="27"/>
      <c r="AA59" s="27"/>
      <c r="AB59" s="58"/>
    </row>
    <row r="60" spans="11:28" ht="12.75">
      <c r="K60" s="51"/>
      <c r="M60" s="42"/>
      <c r="R60" s="48" t="s">
        <v>73</v>
      </c>
      <c r="S60" s="27" t="s">
        <v>25</v>
      </c>
      <c r="T60" s="27">
        <v>0.1</v>
      </c>
      <c r="U60" s="27" t="s">
        <v>23</v>
      </c>
      <c r="V60" s="27">
        <f>$G$42/2+$T$60</f>
        <v>8.588583349999622</v>
      </c>
      <c r="W60" s="27">
        <f>W58-+$G$22</f>
        <v>4.066444890037761</v>
      </c>
      <c r="X60" s="27" t="s">
        <v>22</v>
      </c>
      <c r="Y60" s="27" t="s">
        <v>23</v>
      </c>
      <c r="Z60" s="27">
        <f>$G$42/2+$T$60</f>
        <v>8.588583349999622</v>
      </c>
      <c r="AA60" s="27">
        <f>$Z$9+$G$22</f>
        <v>2.602046453126727</v>
      </c>
      <c r="AB60" s="58" t="s">
        <v>24</v>
      </c>
    </row>
    <row r="61" spans="1:28" ht="12.75">
      <c r="A61" s="8" t="s">
        <v>84</v>
      </c>
      <c r="B61" s="8"/>
      <c r="C61" s="8"/>
      <c r="D61" s="8"/>
      <c r="E61" s="8"/>
      <c r="F61" s="8"/>
      <c r="G61" s="8"/>
      <c r="H61" s="16"/>
      <c r="I61" s="8"/>
      <c r="J61" s="8"/>
      <c r="K61" s="15"/>
      <c r="L61" s="8"/>
      <c r="M61" s="22"/>
      <c r="N61" s="8"/>
      <c r="O61" s="8"/>
      <c r="P61" s="8"/>
      <c r="R61" s="48"/>
      <c r="S61" s="27" t="s">
        <v>25</v>
      </c>
      <c r="T61" s="27">
        <v>0.1</v>
      </c>
      <c r="U61" s="27" t="s">
        <v>23</v>
      </c>
      <c r="V61" s="27">
        <f>-$G$42/2-$T$61</f>
        <v>-8.588583349999622</v>
      </c>
      <c r="W61" s="27">
        <f>W58-+$G$22</f>
        <v>4.066444890037761</v>
      </c>
      <c r="X61" s="27" t="s">
        <v>22</v>
      </c>
      <c r="Y61" s="27" t="s">
        <v>23</v>
      </c>
      <c r="Z61" s="27">
        <f>-$G$42/2-$T$61</f>
        <v>-8.588583349999622</v>
      </c>
      <c r="AA61" s="27">
        <f>$Z$9+$G$22</f>
        <v>2.602046453126727</v>
      </c>
      <c r="AB61" s="58" t="s">
        <v>24</v>
      </c>
    </row>
    <row r="62" spans="11:28" ht="12.75">
      <c r="K62" s="51"/>
      <c r="M62" s="42"/>
      <c r="S62" s="27"/>
      <c r="T62" s="27"/>
      <c r="U62" s="27"/>
      <c r="V62" s="27"/>
      <c r="W62" s="27"/>
      <c r="X62" s="27"/>
      <c r="Y62" s="27"/>
      <c r="Z62" s="27"/>
      <c r="AA62" s="27"/>
      <c r="AB62" s="58"/>
    </row>
    <row r="63" spans="2:28" ht="12.75">
      <c r="B63" s="12" t="s">
        <v>146</v>
      </c>
      <c r="C63" s="12" t="s">
        <v>33</v>
      </c>
      <c r="D63" s="12" t="s">
        <v>147</v>
      </c>
      <c r="E63" s="12"/>
      <c r="F63" s="12" t="s">
        <v>33</v>
      </c>
      <c r="G63" s="26">
        <f>W58</f>
        <v>4.426444890037762</v>
      </c>
      <c r="H63" s="23" t="s">
        <v>45</v>
      </c>
      <c r="I63" s="53">
        <f>G63*25.4</f>
        <v>112.43170020695914</v>
      </c>
      <c r="J63" s="1" t="s">
        <v>44</v>
      </c>
      <c r="K63" s="51">
        <f>G63*2.54</f>
        <v>11.243170020695915</v>
      </c>
      <c r="L63" s="1" t="s">
        <v>43</v>
      </c>
      <c r="M63" s="42">
        <f>G63*0.0254</f>
        <v>0.11243170020695914</v>
      </c>
      <c r="N63" s="1" t="s">
        <v>35</v>
      </c>
      <c r="R63" s="48" t="s">
        <v>158</v>
      </c>
      <c r="S63" s="27" t="s">
        <v>28</v>
      </c>
      <c r="T63" s="27" t="s">
        <v>23</v>
      </c>
      <c r="U63" s="27">
        <f>Y11+(U11-Y11)/2</f>
        <v>-7.42751043124967</v>
      </c>
      <c r="V63" s="27">
        <f>Z11-(Z11-Z20)/2</f>
        <v>2.615762490133446</v>
      </c>
      <c r="W63" s="27" t="s">
        <v>22</v>
      </c>
      <c r="X63" s="27" t="s">
        <v>23</v>
      </c>
      <c r="Y63" s="27">
        <f>Y11</f>
        <v>-7.4137943942429505</v>
      </c>
      <c r="Z63" s="35">
        <f>Z11</f>
        <v>2.602046453126727</v>
      </c>
      <c r="AA63" s="27" t="s">
        <v>24</v>
      </c>
      <c r="AB63" s="58"/>
    </row>
    <row r="64" spans="18:28" ht="12.75">
      <c r="R64" s="48"/>
      <c r="S64" s="27" t="s">
        <v>25</v>
      </c>
      <c r="T64" s="27">
        <f>$G$50/2</f>
        <v>0.013716037006718983</v>
      </c>
      <c r="U64" s="27" t="s">
        <v>23</v>
      </c>
      <c r="V64" s="27">
        <f>Y11+3*(U11-Y11)/4</f>
        <v>-7.434368449753029</v>
      </c>
      <c r="W64" s="27">
        <f>Z11</f>
        <v>2.602046453126727</v>
      </c>
      <c r="X64" s="27" t="s">
        <v>22</v>
      </c>
      <c r="Y64" s="27" t="s">
        <v>23</v>
      </c>
      <c r="Z64" s="27">
        <f>Y11</f>
        <v>-7.4137943942429505</v>
      </c>
      <c r="AA64" s="27">
        <f>Z11-3*(Z11-Z20)/4</f>
        <v>2.6226205086368055</v>
      </c>
      <c r="AB64" s="58" t="s">
        <v>24</v>
      </c>
    </row>
    <row r="65" spans="1:28" ht="12.75">
      <c r="A65" s="8" t="s">
        <v>205</v>
      </c>
      <c r="B65" s="8"/>
      <c r="C65" s="8"/>
      <c r="D65" s="8"/>
      <c r="E65" s="8"/>
      <c r="F65" s="8"/>
      <c r="G65" s="8"/>
      <c r="H65" s="16"/>
      <c r="I65" s="8"/>
      <c r="J65" s="8"/>
      <c r="K65" s="8"/>
      <c r="L65" s="8"/>
      <c r="M65" s="8"/>
      <c r="N65" s="8"/>
      <c r="O65" s="8"/>
      <c r="P65" s="8"/>
      <c r="R65" s="48" t="s">
        <v>216</v>
      </c>
      <c r="S65" s="27" t="s">
        <v>28</v>
      </c>
      <c r="T65" s="27" t="s">
        <v>23</v>
      </c>
      <c r="U65" s="27">
        <f>U12</f>
        <v>-5.319080630756483</v>
      </c>
      <c r="V65" s="27">
        <f>Z12</f>
        <v>2.602046453126727</v>
      </c>
      <c r="W65" s="27" t="s">
        <v>22</v>
      </c>
      <c r="X65" s="27" t="s">
        <v>23</v>
      </c>
      <c r="Y65" s="27">
        <f>U12+(Y12-U12)/2</f>
        <v>-5.305364593749764</v>
      </c>
      <c r="Z65" s="35">
        <f>Z12+(Z20-V20)/2</f>
        <v>2.615762490133446</v>
      </c>
      <c r="AA65" s="27" t="s">
        <v>24</v>
      </c>
      <c r="AB65" s="58"/>
    </row>
    <row r="66" spans="18:28" ht="12.75">
      <c r="R66" s="48"/>
      <c r="S66" s="27" t="s">
        <v>25</v>
      </c>
      <c r="T66" s="27">
        <f>$G$50/2</f>
        <v>0.013716037006718983</v>
      </c>
      <c r="U66" s="27" t="s">
        <v>23</v>
      </c>
      <c r="V66" s="27">
        <f>U12</f>
        <v>-5.319080630756483</v>
      </c>
      <c r="W66" s="27">
        <f>Z12+3*(Z20-Z12)/4</f>
        <v>2.6226205086368055</v>
      </c>
      <c r="X66" s="27" t="s">
        <v>22</v>
      </c>
      <c r="Y66" s="27" t="s">
        <v>23</v>
      </c>
      <c r="Z66" s="27">
        <f>U12+3*(Y12-U12)/4</f>
        <v>-5.298506575246405</v>
      </c>
      <c r="AA66" s="27">
        <f>Z12</f>
        <v>2.602046453126727</v>
      </c>
      <c r="AB66" s="58" t="s">
        <v>24</v>
      </c>
    </row>
    <row r="67" spans="1:28" ht="12.75">
      <c r="A67" s="59" t="s">
        <v>47</v>
      </c>
      <c r="R67" s="48" t="s">
        <v>62</v>
      </c>
      <c r="S67" s="27" t="s">
        <v>28</v>
      </c>
      <c r="T67" s="27" t="s">
        <v>23</v>
      </c>
      <c r="U67" s="27">
        <f>Y13+(U13-Y13)/2</f>
        <v>-3.1832187562498584</v>
      </c>
      <c r="V67" s="27">
        <f>Z13-(Z13-Z21)/2</f>
        <v>2.615762490133446</v>
      </c>
      <c r="W67" s="27" t="s">
        <v>22</v>
      </c>
      <c r="X67" s="27" t="s">
        <v>23</v>
      </c>
      <c r="Y67" s="27">
        <f>Y13</f>
        <v>-3.1695027192431393</v>
      </c>
      <c r="Z67" s="35">
        <f>Z13</f>
        <v>2.602046453126727</v>
      </c>
      <c r="AA67" s="27" t="s">
        <v>24</v>
      </c>
      <c r="AB67" s="58"/>
    </row>
    <row r="68" spans="18:28" ht="12.75">
      <c r="R68" s="48"/>
      <c r="S68" s="27" t="s">
        <v>25</v>
      </c>
      <c r="T68" s="27">
        <f>$G$50/2</f>
        <v>0.013716037006718983</v>
      </c>
      <c r="U68" s="27" t="s">
        <v>23</v>
      </c>
      <c r="V68" s="27">
        <f>Y13+3*(U13-Y13)/4</f>
        <v>-3.190076774753218</v>
      </c>
      <c r="W68" s="27">
        <f>Z13</f>
        <v>2.602046453126727</v>
      </c>
      <c r="X68" s="27" t="s">
        <v>22</v>
      </c>
      <c r="Y68" s="27" t="s">
        <v>23</v>
      </c>
      <c r="Z68" s="27">
        <f>Y13</f>
        <v>-3.1695027192431393</v>
      </c>
      <c r="AA68" s="27">
        <f>Z13-3*(Z13-Z21)/4</f>
        <v>2.6226205086368055</v>
      </c>
      <c r="AB68" s="58" t="s">
        <v>24</v>
      </c>
    </row>
    <row r="69" spans="2:28" ht="12.75">
      <c r="B69" s="1" t="s">
        <v>109</v>
      </c>
      <c r="C69" s="1" t="s">
        <v>33</v>
      </c>
      <c r="D69" s="1" t="s">
        <v>110</v>
      </c>
      <c r="F69" s="1" t="s">
        <v>33</v>
      </c>
      <c r="G69" s="1">
        <v>50</v>
      </c>
      <c r="H69" s="21" t="s">
        <v>99</v>
      </c>
      <c r="R69" s="48" t="s">
        <v>122</v>
      </c>
      <c r="S69" s="27" t="s">
        <v>28</v>
      </c>
      <c r="T69" s="27" t="s">
        <v>23</v>
      </c>
      <c r="U69" s="27">
        <f>U14</f>
        <v>-1.0747889557566719</v>
      </c>
      <c r="V69" s="27">
        <f>Z14</f>
        <v>2.602046453126727</v>
      </c>
      <c r="W69" s="27" t="s">
        <v>22</v>
      </c>
      <c r="X69" s="27" t="s">
        <v>23</v>
      </c>
      <c r="Y69" s="27">
        <f>U14+(Y14-U14)/2</f>
        <v>-1.0610729187499528</v>
      </c>
      <c r="Z69" s="35">
        <f>Z14+(Z21-V21)/2</f>
        <v>2.615762490133446</v>
      </c>
      <c r="AA69" s="27" t="s">
        <v>24</v>
      </c>
      <c r="AB69" s="58"/>
    </row>
    <row r="70" spans="18:28" ht="12.75">
      <c r="R70" s="48"/>
      <c r="S70" s="27" t="s">
        <v>25</v>
      </c>
      <c r="T70" s="27">
        <f>$G$50/2</f>
        <v>0.013716037006718983</v>
      </c>
      <c r="U70" s="27" t="s">
        <v>23</v>
      </c>
      <c r="V70" s="27">
        <f>U14</f>
        <v>-1.0747889557566719</v>
      </c>
      <c r="W70" s="27">
        <f>Z14+3*(Z21-Z14)/4</f>
        <v>2.6226205086368055</v>
      </c>
      <c r="X70" s="27" t="s">
        <v>22</v>
      </c>
      <c r="Y70" s="27" t="s">
        <v>23</v>
      </c>
      <c r="Z70" s="27">
        <f>U14+3*(Y14-U14)/4</f>
        <v>-1.0542149002465933</v>
      </c>
      <c r="AA70" s="27">
        <f>Z14</f>
        <v>2.602046453126727</v>
      </c>
      <c r="AB70" s="58" t="s">
        <v>24</v>
      </c>
    </row>
    <row r="71" spans="2:28" ht="12.75">
      <c r="B71" s="1" t="s">
        <v>78</v>
      </c>
      <c r="C71" s="1" t="s">
        <v>33</v>
      </c>
      <c r="D71" s="1" t="s">
        <v>79</v>
      </c>
      <c r="F71" s="1" t="s">
        <v>33</v>
      </c>
      <c r="G71" s="53">
        <f>377*PI()/(2*G69*SQRT($G$12))</f>
        <v>7.983893738565503</v>
      </c>
      <c r="I71" s="1" t="s">
        <v>80</v>
      </c>
      <c r="K71" s="1">
        <f>2/PI()*(G71-1-LN(2*G71-1)+($G$12-1)/(2*$G$12)*(LN(G71-1)+0.39-0.61/$G$12))</f>
        <v>3.080586860845038</v>
      </c>
      <c r="R71" s="48" t="s">
        <v>178</v>
      </c>
      <c r="S71" s="27" t="s">
        <v>28</v>
      </c>
      <c r="T71" s="27" t="s">
        <v>23</v>
      </c>
      <c r="U71" s="27">
        <f>Y15+(U15-Y15)/2</f>
        <v>1.0610729187499528</v>
      </c>
      <c r="V71" s="27">
        <f>Z15-(Z15-Z22)/2</f>
        <v>2.615762490133446</v>
      </c>
      <c r="W71" s="27" t="s">
        <v>22</v>
      </c>
      <c r="X71" s="27" t="s">
        <v>23</v>
      </c>
      <c r="Y71" s="27">
        <f>Y15</f>
        <v>1.0747889557566719</v>
      </c>
      <c r="Z71" s="35">
        <f>Z15</f>
        <v>2.602046453126727</v>
      </c>
      <c r="AA71" s="27" t="s">
        <v>24</v>
      </c>
      <c r="AB71" s="58"/>
    </row>
    <row r="72" spans="2:28" ht="12.75">
      <c r="B72" s="1" t="s">
        <v>63</v>
      </c>
      <c r="C72" s="1" t="s">
        <v>33</v>
      </c>
      <c r="D72" s="1" t="s">
        <v>50</v>
      </c>
      <c r="F72" s="1" t="s">
        <v>33</v>
      </c>
      <c r="G72" s="53">
        <f>G69/60*SQRT(($G$12+1)/2)+($G$12-1)/($G$12+1)*(0.23+0.11/$G$12)</f>
        <v>1.1592317121411704</v>
      </c>
      <c r="I72" s="1" t="s">
        <v>52</v>
      </c>
      <c r="K72" s="1">
        <f>8*EXP(G72)/(EXP(2*G72)-2)</f>
        <v>3.1249643702581893</v>
      </c>
      <c r="R72" s="48"/>
      <c r="S72" s="27" t="s">
        <v>25</v>
      </c>
      <c r="T72" s="27">
        <f>$G$50/2</f>
        <v>0.013716037006718983</v>
      </c>
      <c r="U72" s="27" t="s">
        <v>23</v>
      </c>
      <c r="V72" s="27">
        <f>Y15+3*(U15-Y15)/4</f>
        <v>1.0542149002465933</v>
      </c>
      <c r="W72" s="27">
        <f>Z15</f>
        <v>2.602046453126727</v>
      </c>
      <c r="X72" s="27" t="s">
        <v>22</v>
      </c>
      <c r="Y72" s="27" t="s">
        <v>23</v>
      </c>
      <c r="Z72" s="27">
        <f>Y15</f>
        <v>1.0747889557566719</v>
      </c>
      <c r="AA72" s="27">
        <f>Z15-3*(Z15-Z22)/4</f>
        <v>2.6226205086368055</v>
      </c>
      <c r="AB72" s="58" t="s">
        <v>24</v>
      </c>
    </row>
    <row r="73" spans="18:28" ht="12.75">
      <c r="R73" s="48" t="s">
        <v>231</v>
      </c>
      <c r="S73" s="27" t="s">
        <v>28</v>
      </c>
      <c r="T73" s="27" t="s">
        <v>23</v>
      </c>
      <c r="U73" s="27">
        <f>U16</f>
        <v>3.1695027192431393</v>
      </c>
      <c r="V73" s="27">
        <f>Z16</f>
        <v>2.602046453126727</v>
      </c>
      <c r="W73" s="27" t="s">
        <v>22</v>
      </c>
      <c r="X73" s="27" t="s">
        <v>23</v>
      </c>
      <c r="Y73" s="27">
        <f>U16+(Y16-U16)/2</f>
        <v>3.1832187562498584</v>
      </c>
      <c r="Z73" s="35">
        <f>Z16+(Z22-V22)/2</f>
        <v>2.615762490133446</v>
      </c>
      <c r="AA73" s="27" t="s">
        <v>24</v>
      </c>
      <c r="AB73" s="58"/>
    </row>
    <row r="74" spans="2:28" ht="12.75">
      <c r="B74" s="1" t="s">
        <v>32</v>
      </c>
      <c r="C74" s="1" t="s">
        <v>33</v>
      </c>
      <c r="D74" s="1" t="s">
        <v>34</v>
      </c>
      <c r="F74" s="1" t="s">
        <v>33</v>
      </c>
      <c r="G74" s="49">
        <f>IF(AND(K71&gt;2,K72&gt;2),K71*$G$18,K72*$G$18)</f>
        <v>0.005633777251113405</v>
      </c>
      <c r="H74" s="21" t="s">
        <v>35</v>
      </c>
      <c r="R74" s="48"/>
      <c r="S74" s="27" t="s">
        <v>25</v>
      </c>
      <c r="T74" s="27">
        <f>$G$50/2</f>
        <v>0.013716037006718983</v>
      </c>
      <c r="U74" s="27" t="s">
        <v>23</v>
      </c>
      <c r="V74" s="27">
        <f>U16</f>
        <v>3.1695027192431393</v>
      </c>
      <c r="W74" s="27">
        <f>Z16+3*(Z22-Z16)/4</f>
        <v>2.6226205086368055</v>
      </c>
      <c r="X74" s="27" t="s">
        <v>22</v>
      </c>
      <c r="Y74" s="27" t="s">
        <v>23</v>
      </c>
      <c r="Z74" s="27">
        <f>U16+3*(Y16-U16)/4</f>
        <v>3.190076774753218</v>
      </c>
      <c r="AA74" s="27">
        <f>Z16</f>
        <v>2.602046453126727</v>
      </c>
      <c r="AB74" s="58" t="s">
        <v>24</v>
      </c>
    </row>
    <row r="75" spans="18:28" ht="12.75">
      <c r="R75" s="48" t="s">
        <v>83</v>
      </c>
      <c r="S75" s="27" t="s">
        <v>28</v>
      </c>
      <c r="T75" s="27" t="s">
        <v>23</v>
      </c>
      <c r="U75" s="27">
        <f>Y17+(U17-Y17)/2</f>
        <v>5.305364593749764</v>
      </c>
      <c r="V75" s="27">
        <f>Z17-(Z17-Z23)/2</f>
        <v>2.615762490133446</v>
      </c>
      <c r="W75" s="27" t="s">
        <v>22</v>
      </c>
      <c r="X75" s="27" t="s">
        <v>23</v>
      </c>
      <c r="Y75" s="27">
        <f>Y17</f>
        <v>5.319080630756483</v>
      </c>
      <c r="Z75" s="35">
        <f>Z17</f>
        <v>2.602046453126727</v>
      </c>
      <c r="AA75" s="27" t="s">
        <v>24</v>
      </c>
      <c r="AB75" s="58"/>
    </row>
    <row r="76" spans="1:28" ht="12.75">
      <c r="A76" s="59" t="s">
        <v>100</v>
      </c>
      <c r="R76" s="48"/>
      <c r="S76" s="27" t="s">
        <v>25</v>
      </c>
      <c r="T76" s="27">
        <f>$G$50/2</f>
        <v>0.013716037006718983</v>
      </c>
      <c r="U76" s="27" t="s">
        <v>23</v>
      </c>
      <c r="V76" s="27">
        <f>Y17+3*(U17-Y17)/4</f>
        <v>5.298506575246405</v>
      </c>
      <c r="W76" s="27">
        <f>Z17</f>
        <v>2.602046453126727</v>
      </c>
      <c r="X76" s="27" t="s">
        <v>22</v>
      </c>
      <c r="Y76" s="27" t="s">
        <v>23</v>
      </c>
      <c r="Z76" s="27">
        <f>Y17</f>
        <v>5.319080630756483</v>
      </c>
      <c r="AA76" s="27">
        <f>Z17-3*(Z17-Z23)/4</f>
        <v>2.6226205086368055</v>
      </c>
      <c r="AB76" s="58" t="s">
        <v>24</v>
      </c>
    </row>
    <row r="77" spans="18:28" ht="12.75">
      <c r="R77" s="48" t="s">
        <v>145</v>
      </c>
      <c r="S77" s="27" t="s">
        <v>28</v>
      </c>
      <c r="T77" s="27" t="s">
        <v>23</v>
      </c>
      <c r="U77" s="27">
        <f>U18</f>
        <v>7.4137943942429505</v>
      </c>
      <c r="V77" s="27">
        <f>Z18</f>
        <v>2.602046453126727</v>
      </c>
      <c r="W77" s="27" t="s">
        <v>22</v>
      </c>
      <c r="X77" s="27" t="s">
        <v>23</v>
      </c>
      <c r="Y77" s="27">
        <f>U18+(Y18-U18)/2</f>
        <v>7.42751043124967</v>
      </c>
      <c r="Z77" s="35">
        <f>Z18+(Z23-V23)/2</f>
        <v>2.615762490133446</v>
      </c>
      <c r="AA77" s="27" t="s">
        <v>24</v>
      </c>
      <c r="AB77" s="58"/>
    </row>
    <row r="78" spans="2:28" ht="12.75">
      <c r="B78" s="1" t="s">
        <v>159</v>
      </c>
      <c r="C78" s="1" t="s">
        <v>33</v>
      </c>
      <c r="D78" s="1" t="s">
        <v>110</v>
      </c>
      <c r="F78" s="1" t="s">
        <v>33</v>
      </c>
      <c r="G78" s="1">
        <v>100</v>
      </c>
      <c r="H78" s="21" t="s">
        <v>99</v>
      </c>
      <c r="R78" s="48"/>
      <c r="S78" s="27" t="s">
        <v>25</v>
      </c>
      <c r="T78" s="27">
        <f>$G$50/2</f>
        <v>0.013716037006718983</v>
      </c>
      <c r="U78" s="27" t="s">
        <v>23</v>
      </c>
      <c r="V78" s="27">
        <f>U18</f>
        <v>7.4137943942429505</v>
      </c>
      <c r="W78" s="27">
        <f>Z18+3*(Z23-Z18)/4</f>
        <v>2.6226205086368055</v>
      </c>
      <c r="X78" s="27" t="s">
        <v>22</v>
      </c>
      <c r="Y78" s="27" t="s">
        <v>23</v>
      </c>
      <c r="Z78" s="27">
        <f>U18+3*(Y18-U18)/4</f>
        <v>7.434368449753029</v>
      </c>
      <c r="AA78" s="27">
        <f>Z18</f>
        <v>2.602046453126727</v>
      </c>
      <c r="AB78" s="58" t="s">
        <v>24</v>
      </c>
    </row>
    <row r="79" spans="19:28" ht="12.75">
      <c r="S79" s="27"/>
      <c r="T79" s="27"/>
      <c r="U79" s="27"/>
      <c r="V79" s="27"/>
      <c r="W79" s="27"/>
      <c r="X79" s="27"/>
      <c r="Y79" s="27"/>
      <c r="Z79" s="27"/>
      <c r="AA79" s="27"/>
      <c r="AB79" s="58"/>
    </row>
    <row r="80" spans="1:28" ht="12.75">
      <c r="A80" s="3"/>
      <c r="B80" s="1" t="s">
        <v>78</v>
      </c>
      <c r="C80" s="1" t="s">
        <v>33</v>
      </c>
      <c r="D80" s="1" t="s">
        <v>79</v>
      </c>
      <c r="F80" s="1" t="s">
        <v>33</v>
      </c>
      <c r="G80" s="53">
        <f>377*PI()/(2*G78*SQRT($G$12))</f>
        <v>3.9919468692827516</v>
      </c>
      <c r="I80" s="1" t="s">
        <v>80</v>
      </c>
      <c r="K80" s="1">
        <f>2/PI()*(G80-1-LN(2*G80-1)+($G$12-1)/(2*$G$12)*(LN(G80-1)+0.39-0.61/$G$12))</f>
        <v>0.8773114364026972</v>
      </c>
      <c r="R80" s="48" t="s">
        <v>57</v>
      </c>
      <c r="S80" s="27" t="s">
        <v>28</v>
      </c>
      <c r="T80" s="27" t="s">
        <v>23</v>
      </c>
      <c r="U80" s="27">
        <f>Y25+(U25-Y25)/2</f>
        <v>-3.1832187562498584</v>
      </c>
      <c r="V80" s="27">
        <f>Z25-(Z25-Z30)/2</f>
        <v>3.119587933084668</v>
      </c>
      <c r="W80" s="27" t="s">
        <v>22</v>
      </c>
      <c r="X80" s="27" t="s">
        <v>23</v>
      </c>
      <c r="Y80" s="27">
        <f>Y25</f>
        <v>-3.118164053277607</v>
      </c>
      <c r="Z80" s="35">
        <f>Z25</f>
        <v>3.0545332301124164</v>
      </c>
      <c r="AA80" s="27" t="s">
        <v>24</v>
      </c>
      <c r="AB80" s="58"/>
    </row>
    <row r="81" spans="1:28" ht="12.75">
      <c r="A81" s="3"/>
      <c r="G81" s="53"/>
      <c r="R81" s="48"/>
      <c r="S81" s="27" t="s">
        <v>25</v>
      </c>
      <c r="T81" s="27">
        <f>$G$51/2</f>
        <v>0.06505470297225148</v>
      </c>
      <c r="U81" s="27" t="s">
        <v>23</v>
      </c>
      <c r="V81" s="27">
        <f>Y25+3*(U25-Y25)/4</f>
        <v>-3.215746107735984</v>
      </c>
      <c r="W81" s="27">
        <f>Z25</f>
        <v>3.0545332301124164</v>
      </c>
      <c r="X81" s="27" t="s">
        <v>22</v>
      </c>
      <c r="Y81" s="27" t="s">
        <v>23</v>
      </c>
      <c r="Z81" s="27">
        <f>Y25</f>
        <v>-3.118164053277607</v>
      </c>
      <c r="AA81" s="27">
        <f>Z25-3*(Z25-Z30)/4</f>
        <v>3.152115284570794</v>
      </c>
      <c r="AB81" s="58" t="s">
        <v>24</v>
      </c>
    </row>
    <row r="82" spans="2:28" ht="12.75">
      <c r="B82" s="1" t="s">
        <v>63</v>
      </c>
      <c r="C82" s="1" t="s">
        <v>33</v>
      </c>
      <c r="D82" s="1" t="s">
        <v>50</v>
      </c>
      <c r="F82" s="1" t="s">
        <v>33</v>
      </c>
      <c r="G82" s="53">
        <f>G78/60*SQRT(($G$12+1)/2)+($G$12-1)/($G$12+1)*(0.23+0.11/$G$12)</f>
        <v>2.213432963220763</v>
      </c>
      <c r="I82" s="1" t="s">
        <v>52</v>
      </c>
      <c r="K82" s="1">
        <f>8*EXP(G82)/(EXP(2*G82)-2)</f>
        <v>0.8960157285738488</v>
      </c>
      <c r="R82" s="48" t="s">
        <v>118</v>
      </c>
      <c r="S82" s="27" t="s">
        <v>28</v>
      </c>
      <c r="T82" s="27" t="s">
        <v>23</v>
      </c>
      <c r="U82" s="27">
        <f>U26</f>
        <v>-1.1261276217222043</v>
      </c>
      <c r="V82" s="27">
        <f>Z26</f>
        <v>3.0545332301124164</v>
      </c>
      <c r="W82" s="27" t="s">
        <v>22</v>
      </c>
      <c r="X82" s="27" t="s">
        <v>23</v>
      </c>
      <c r="Y82" s="27">
        <f>U26+(Y26-U26)/2</f>
        <v>-1.0610729187499528</v>
      </c>
      <c r="Z82" s="35">
        <f>Z26+(Z31-V31)/2</f>
        <v>3.119587933084668</v>
      </c>
      <c r="AA82" s="27" t="s">
        <v>24</v>
      </c>
      <c r="AB82" s="58"/>
    </row>
    <row r="83" spans="18:28" ht="12.75">
      <c r="R83" s="48"/>
      <c r="S83" s="27" t="s">
        <v>25</v>
      </c>
      <c r="T83" s="27">
        <f>$G$51/2</f>
        <v>0.06505470297225148</v>
      </c>
      <c r="U83" s="27" t="s">
        <v>23</v>
      </c>
      <c r="V83" s="27">
        <f>U26</f>
        <v>-1.1261276217222043</v>
      </c>
      <c r="W83" s="27">
        <f>Z26+3*(Z31-Z26)/4</f>
        <v>3.152115284570794</v>
      </c>
      <c r="X83" s="27" t="s">
        <v>22</v>
      </c>
      <c r="Y83" s="27" t="s">
        <v>23</v>
      </c>
      <c r="Z83" s="27">
        <f>U26+3*(Y26-U26)/4</f>
        <v>-1.028545567263827</v>
      </c>
      <c r="AA83" s="27">
        <f>Z26</f>
        <v>3.0545332301124164</v>
      </c>
      <c r="AB83" s="58" t="s">
        <v>24</v>
      </c>
    </row>
    <row r="84" spans="2:28" ht="12.75">
      <c r="B84" s="1" t="s">
        <v>123</v>
      </c>
      <c r="C84" s="1" t="s">
        <v>33</v>
      </c>
      <c r="D84" s="1" t="s">
        <v>124</v>
      </c>
      <c r="F84" s="1" t="s">
        <v>33</v>
      </c>
      <c r="G84" s="49">
        <f>IF(AND(K80&gt;2,K82&gt;2),K80*$G$18,K82*$G$18)</f>
        <v>0.0016386335644158546</v>
      </c>
      <c r="H84" s="21" t="s">
        <v>35</v>
      </c>
      <c r="R84" s="48" t="s">
        <v>175</v>
      </c>
      <c r="S84" s="27" t="s">
        <v>28</v>
      </c>
      <c r="T84" s="27" t="s">
        <v>23</v>
      </c>
      <c r="U84" s="27">
        <f>Y27+(U27-Y27)/2</f>
        <v>1.0610729187499528</v>
      </c>
      <c r="V84" s="27">
        <f>Z27-(Z27-Z32)/2</f>
        <v>3.119587933084668</v>
      </c>
      <c r="W84" s="27" t="s">
        <v>22</v>
      </c>
      <c r="X84" s="27" t="s">
        <v>23</v>
      </c>
      <c r="Y84" s="27">
        <f>Y27</f>
        <v>1.1261276217222043</v>
      </c>
      <c r="Z84" s="35">
        <f>Z27</f>
        <v>3.0545332301124164</v>
      </c>
      <c r="AA84" s="27" t="s">
        <v>24</v>
      </c>
      <c r="AB84" s="58"/>
    </row>
    <row r="85" spans="18:28" ht="12.75">
      <c r="R85" s="48"/>
      <c r="S85" s="27" t="s">
        <v>25</v>
      </c>
      <c r="T85" s="27">
        <f>$G$51/2</f>
        <v>0.06505470297225148</v>
      </c>
      <c r="U85" s="27" t="s">
        <v>23</v>
      </c>
      <c r="V85" s="27">
        <f>Y27+3*(U27-Y27)/4</f>
        <v>1.028545567263827</v>
      </c>
      <c r="W85" s="27">
        <f>Z27</f>
        <v>3.0545332301124164</v>
      </c>
      <c r="X85" s="27" t="s">
        <v>22</v>
      </c>
      <c r="Y85" s="27" t="s">
        <v>23</v>
      </c>
      <c r="Z85" s="27">
        <f>Y27</f>
        <v>1.1261276217222043</v>
      </c>
      <c r="AA85" s="27">
        <f>Z27-3*(Z27-Z32)/4</f>
        <v>3.152115284570794</v>
      </c>
      <c r="AB85" s="58" t="s">
        <v>24</v>
      </c>
    </row>
    <row r="86" spans="1:28" ht="12.75">
      <c r="A86" s="59" t="s">
        <v>179</v>
      </c>
      <c r="R86" s="48" t="s">
        <v>226</v>
      </c>
      <c r="S86" s="27" t="s">
        <v>28</v>
      </c>
      <c r="T86" s="27" t="s">
        <v>23</v>
      </c>
      <c r="U86" s="27">
        <f>U28</f>
        <v>3.118164053277607</v>
      </c>
      <c r="V86" s="27">
        <f>Z28</f>
        <v>3.0545332301124164</v>
      </c>
      <c r="W86" s="27" t="s">
        <v>22</v>
      </c>
      <c r="X86" s="27" t="s">
        <v>23</v>
      </c>
      <c r="Y86" s="27">
        <f>U28+(Y28-U28)/2</f>
        <v>3.1832187562498584</v>
      </c>
      <c r="Z86" s="35">
        <f>Z28+(Z33-V33)/2</f>
        <v>3.119587933084668</v>
      </c>
      <c r="AA86" s="27" t="s">
        <v>24</v>
      </c>
      <c r="AB86" s="58"/>
    </row>
    <row r="87" spans="18:28" ht="12.75">
      <c r="R87" s="48"/>
      <c r="S87" s="27" t="s">
        <v>25</v>
      </c>
      <c r="T87" s="27">
        <f>$G$51/2</f>
        <v>0.06505470297225148</v>
      </c>
      <c r="U87" s="27" t="s">
        <v>23</v>
      </c>
      <c r="V87" s="27">
        <f>U28</f>
        <v>3.118164053277607</v>
      </c>
      <c r="W87" s="27">
        <f>Z28+3*(Z33-Z28)/4</f>
        <v>3.152115284570794</v>
      </c>
      <c r="X87" s="27" t="s">
        <v>22</v>
      </c>
      <c r="Y87" s="27" t="s">
        <v>23</v>
      </c>
      <c r="Z87" s="27">
        <f>U28+3*(Y28-U28)/4</f>
        <v>3.215746107735984</v>
      </c>
      <c r="AA87" s="27">
        <f>Z28</f>
        <v>3.0545332301124164</v>
      </c>
      <c r="AB87" s="58" t="s">
        <v>24</v>
      </c>
    </row>
    <row r="88" spans="2:28" ht="12.75">
      <c r="B88" s="1" t="s">
        <v>78</v>
      </c>
      <c r="C88" s="1" t="s">
        <v>33</v>
      </c>
      <c r="D88" s="1" t="s">
        <v>79</v>
      </c>
      <c r="F88" s="1" t="s">
        <v>33</v>
      </c>
      <c r="G88" s="53">
        <f>377*PI()/(2*$G$44*SQRT($G$12))</f>
        <v>2.859036124102348</v>
      </c>
      <c r="I88" s="1" t="s">
        <v>80</v>
      </c>
      <c r="K88" s="1">
        <f>2/PI()*(G88-1-LN(2*G88-1)+($G$12-1)/(2*$G$12)*(LN(G88-1)+0.39-0.61/$G$12))</f>
        <v>0.32312211392166074</v>
      </c>
      <c r="S88" s="27"/>
      <c r="T88" s="27"/>
      <c r="U88" s="27"/>
      <c r="V88" s="27"/>
      <c r="W88" s="27"/>
      <c r="X88" s="27"/>
      <c r="Y88" s="27"/>
      <c r="Z88" s="27"/>
      <c r="AA88" s="27"/>
      <c r="AB88" s="58"/>
    </row>
    <row r="89" spans="2:28" ht="12.75">
      <c r="B89" s="1" t="s">
        <v>49</v>
      </c>
      <c r="C89" s="1" t="s">
        <v>33</v>
      </c>
      <c r="D89" s="1" t="s">
        <v>50</v>
      </c>
      <c r="F89" s="1" t="s">
        <v>33</v>
      </c>
      <c r="G89" s="53">
        <f>$G$44/60*SQRT(($G$12+1)/2)+($G$12-1)/($G$12+1)*(0.23+0.11/$G$12)</f>
        <v>3.0489004935974027</v>
      </c>
      <c r="I89" s="1" t="s">
        <v>52</v>
      </c>
      <c r="K89" s="1">
        <f>8*EXP(G89)/(EXP(2*G89)-2)</f>
        <v>0.3810010279644162</v>
      </c>
      <c r="R89" s="48" t="s">
        <v>214</v>
      </c>
      <c r="S89" s="27" t="s">
        <v>28</v>
      </c>
      <c r="T89" s="27" t="s">
        <v>23</v>
      </c>
      <c r="U89" s="27">
        <f>Y43+(U43-Y43)/2</f>
        <v>-4.244291674999811</v>
      </c>
      <c r="V89" s="27">
        <f>Z43-(Z43-Z46)/2</f>
        <v>3.6555437630473406</v>
      </c>
      <c r="W89" s="27" t="s">
        <v>22</v>
      </c>
      <c r="X89" s="27" t="s">
        <v>23</v>
      </c>
      <c r="Y89" s="27">
        <f>Y43</f>
        <v>-4.13339054800939</v>
      </c>
      <c r="Z89" s="35">
        <f>Z43</f>
        <v>3.544642636056919</v>
      </c>
      <c r="AA89" s="27" t="s">
        <v>24</v>
      </c>
      <c r="AB89" s="58"/>
    </row>
    <row r="90" spans="18:28" ht="12.75">
      <c r="R90" s="48"/>
      <c r="S90" s="27" t="s">
        <v>25</v>
      </c>
      <c r="T90" s="27">
        <f>$G$48/2</f>
        <v>0.11090112699042136</v>
      </c>
      <c r="U90" s="27" t="s">
        <v>23</v>
      </c>
      <c r="V90" s="27">
        <f>Y43+3*(U43-Y43)/4</f>
        <v>-4.299742238495021</v>
      </c>
      <c r="W90" s="27">
        <f>Z43</f>
        <v>3.544642636056919</v>
      </c>
      <c r="X90" s="27" t="s">
        <v>22</v>
      </c>
      <c r="Y90" s="27" t="s">
        <v>23</v>
      </c>
      <c r="Z90" s="27">
        <f>Y43</f>
        <v>-4.13339054800939</v>
      </c>
      <c r="AA90" s="27">
        <f>Z43-3*(Z43-Z46)/4</f>
        <v>3.7109943265425516</v>
      </c>
      <c r="AB90" s="58" t="s">
        <v>24</v>
      </c>
    </row>
    <row r="91" spans="2:28" ht="12.75">
      <c r="B91" s="1" t="s">
        <v>114</v>
      </c>
      <c r="C91" s="1" t="s">
        <v>33</v>
      </c>
      <c r="D91" s="1" t="s">
        <v>115</v>
      </c>
      <c r="F91" s="1" t="s">
        <v>33</v>
      </c>
      <c r="G91" s="49">
        <f>IF(AND(K88&gt;2,K89&gt;2),K88*$G$18,K89*$G$18)</f>
        <v>0.0006967746799413243</v>
      </c>
      <c r="H91" s="21" t="s">
        <v>35</v>
      </c>
      <c r="R91" s="48" t="s">
        <v>53</v>
      </c>
      <c r="S91" s="27" t="s">
        <v>28</v>
      </c>
      <c r="T91" s="27" t="s">
        <v>23</v>
      </c>
      <c r="U91" s="27">
        <f>U44</f>
        <v>4.13339054800939</v>
      </c>
      <c r="V91" s="27">
        <f>Z44</f>
        <v>3.544642636056919</v>
      </c>
      <c r="W91" s="27" t="s">
        <v>22</v>
      </c>
      <c r="X91" s="27" t="s">
        <v>23</v>
      </c>
      <c r="Y91" s="27">
        <f>U44+(Y44-U44)/2</f>
        <v>4.244291674999811</v>
      </c>
      <c r="Z91" s="35">
        <f>Z44+(Z47-V47)/2</f>
        <v>3.6555437630473406</v>
      </c>
      <c r="AA91" s="27" t="s">
        <v>24</v>
      </c>
      <c r="AB91" s="58"/>
    </row>
    <row r="92" spans="18:28" ht="12.75">
      <c r="R92" s="48"/>
      <c r="S92" s="27" t="s">
        <v>25</v>
      </c>
      <c r="T92" s="27">
        <f>$G$48/2</f>
        <v>0.11090112699042136</v>
      </c>
      <c r="U92" s="27" t="s">
        <v>23</v>
      </c>
      <c r="V92" s="27">
        <f>U44</f>
        <v>4.13339054800939</v>
      </c>
      <c r="W92" s="27">
        <f>Z44+3*(Z47-Z44)/4</f>
        <v>3.7109943265425516</v>
      </c>
      <c r="X92" s="27" t="s">
        <v>22</v>
      </c>
      <c r="Y92" s="27" t="s">
        <v>23</v>
      </c>
      <c r="Z92" s="27">
        <f>U44+3*(Y44-U44)/4</f>
        <v>4.299742238495021</v>
      </c>
      <c r="AA92" s="27">
        <f>Z44</f>
        <v>3.544642636056919</v>
      </c>
      <c r="AB92" s="58" t="s">
        <v>24</v>
      </c>
    </row>
    <row r="93" spans="1:28" ht="12.75">
      <c r="A93" s="59" t="s">
        <v>173</v>
      </c>
      <c r="S93" s="27"/>
      <c r="T93" s="27"/>
      <c r="U93" s="27"/>
      <c r="V93" s="27"/>
      <c r="W93" s="27"/>
      <c r="X93" s="27"/>
      <c r="Y93" s="27"/>
      <c r="Z93" s="27"/>
      <c r="AA93" s="27"/>
      <c r="AB93" s="58"/>
    </row>
    <row r="94" spans="18:28" ht="12.75">
      <c r="R94" s="48" t="s">
        <v>148</v>
      </c>
      <c r="S94" s="27" t="s">
        <v>149</v>
      </c>
      <c r="T94" s="27" t="s">
        <v>150</v>
      </c>
      <c r="U94" s="27"/>
      <c r="V94" s="27"/>
      <c r="W94" s="27"/>
      <c r="X94" s="27"/>
      <c r="Y94" s="27"/>
      <c r="Z94" s="27"/>
      <c r="AA94" s="27"/>
      <c r="AB94" s="58"/>
    </row>
    <row r="95" spans="2:28" ht="12.75">
      <c r="B95" s="1" t="s">
        <v>159</v>
      </c>
      <c r="C95" s="1" t="s">
        <v>33</v>
      </c>
      <c r="D95" s="1" t="s">
        <v>110</v>
      </c>
      <c r="F95" s="1" t="s">
        <v>33</v>
      </c>
      <c r="G95" s="1">
        <f>G44/2</f>
        <v>69.81280921268709</v>
      </c>
      <c r="H95" s="21" t="s">
        <v>99</v>
      </c>
      <c r="R95" s="48"/>
      <c r="S95" s="27" t="s">
        <v>31</v>
      </c>
      <c r="T95" s="27">
        <v>0.01</v>
      </c>
      <c r="U95" s="27" t="s">
        <v>23</v>
      </c>
      <c r="V95" s="27">
        <f>$G$42/2-($G$28+$G$26/2)</f>
        <v>8.288583349999623</v>
      </c>
      <c r="W95" s="27">
        <f>$G$28+$G$26/2</f>
        <v>0.2</v>
      </c>
      <c r="X95" s="27" t="s">
        <v>22</v>
      </c>
      <c r="Y95" s="27" t="s">
        <v>23</v>
      </c>
      <c r="Z95" s="27">
        <f>V95+$G$26/2</f>
        <v>8.388583349999623</v>
      </c>
      <c r="AA95" s="27">
        <f>W95</f>
        <v>0.2</v>
      </c>
      <c r="AB95" s="58" t="s">
        <v>24</v>
      </c>
    </row>
    <row r="96" spans="18:28" ht="12.75">
      <c r="R96" s="48"/>
      <c r="S96" s="27" t="s">
        <v>31</v>
      </c>
      <c r="T96" s="27">
        <v>0.01</v>
      </c>
      <c r="U96" s="27" t="s">
        <v>23</v>
      </c>
      <c r="V96" s="27">
        <f>$G$42/4</f>
        <v>4.244291674999811</v>
      </c>
      <c r="W96" s="27">
        <f>$G$28+$G$26/2</f>
        <v>0.2</v>
      </c>
      <c r="X96" s="27" t="s">
        <v>22</v>
      </c>
      <c r="Y96" s="27" t="s">
        <v>23</v>
      </c>
      <c r="Z96" s="27">
        <f>V96+$G$26/2</f>
        <v>4.344291674999811</v>
      </c>
      <c r="AA96" s="27">
        <f>W96</f>
        <v>0.2</v>
      </c>
      <c r="AB96" s="58" t="s">
        <v>24</v>
      </c>
    </row>
    <row r="97" spans="1:28" ht="12.75">
      <c r="A97" s="3"/>
      <c r="B97" s="1" t="s">
        <v>78</v>
      </c>
      <c r="C97" s="1" t="s">
        <v>33</v>
      </c>
      <c r="D97" s="1" t="s">
        <v>79</v>
      </c>
      <c r="F97" s="1" t="s">
        <v>33</v>
      </c>
      <c r="G97" s="53">
        <f>377*PI()/(2*G95*SQRT($G$12))</f>
        <v>5.718072248204696</v>
      </c>
      <c r="I97" s="1" t="s">
        <v>80</v>
      </c>
      <c r="K97" s="1">
        <f>2/PI()*(G97-1-LN(2*G97-1)+($G$12-1)/(2*$G$12)*(LN(G97-1)+0.39-0.61/$G$12))</f>
        <v>1.7995879374500443</v>
      </c>
      <c r="R97" s="48"/>
      <c r="S97" s="27" t="s">
        <v>31</v>
      </c>
      <c r="T97" s="27">
        <v>0.01</v>
      </c>
      <c r="U97" s="27" t="s">
        <v>23</v>
      </c>
      <c r="V97" s="27">
        <v>0</v>
      </c>
      <c r="W97" s="27">
        <f>$G$28+$G$26/2</f>
        <v>0.2</v>
      </c>
      <c r="X97" s="27" t="s">
        <v>22</v>
      </c>
      <c r="Y97" s="27" t="s">
        <v>23</v>
      </c>
      <c r="Z97" s="27">
        <f>V97+$G$26/2</f>
        <v>0.1</v>
      </c>
      <c r="AA97" s="27">
        <f>W97</f>
        <v>0.2</v>
      </c>
      <c r="AB97" s="58" t="s">
        <v>24</v>
      </c>
    </row>
    <row r="98" spans="1:28" ht="12.75">
      <c r="A98" s="3"/>
      <c r="G98" s="53"/>
      <c r="R98" s="48"/>
      <c r="S98" s="27" t="s">
        <v>31</v>
      </c>
      <c r="T98" s="27">
        <v>0.01</v>
      </c>
      <c r="U98" s="27" t="s">
        <v>23</v>
      </c>
      <c r="V98" s="27">
        <f>-$G$42/4</f>
        <v>-4.244291674999811</v>
      </c>
      <c r="W98" s="27">
        <f>$G$28+$G$26/2</f>
        <v>0.2</v>
      </c>
      <c r="X98" s="27" t="s">
        <v>22</v>
      </c>
      <c r="Y98" s="27" t="s">
        <v>23</v>
      </c>
      <c r="Z98" s="27">
        <f>V98+$G$26/2</f>
        <v>-4.1442916749998115</v>
      </c>
      <c r="AA98" s="27">
        <f>W98</f>
        <v>0.2</v>
      </c>
      <c r="AB98" s="58" t="s">
        <v>24</v>
      </c>
    </row>
    <row r="99" spans="2:28" ht="12.75">
      <c r="B99" s="1" t="s">
        <v>63</v>
      </c>
      <c r="C99" s="1" t="s">
        <v>33</v>
      </c>
      <c r="D99" s="1" t="s">
        <v>50</v>
      </c>
      <c r="F99" s="1" t="s">
        <v>33</v>
      </c>
      <c r="G99" s="53">
        <f>G95/60*SQRT(($G$12+1)/2)+($G$12-1)/($G$12+1)*(0.23+0.11/$G$12)</f>
        <v>1.57696547732949</v>
      </c>
      <c r="I99" s="1" t="s">
        <v>52</v>
      </c>
      <c r="K99" s="1">
        <f>8*EXP(G99)/(EXP(2*G99)-2)</f>
        <v>1.8070750825625412</v>
      </c>
      <c r="R99" s="48"/>
      <c r="S99" s="27" t="s">
        <v>31</v>
      </c>
      <c r="T99" s="27">
        <v>0.01</v>
      </c>
      <c r="U99" s="27" t="s">
        <v>23</v>
      </c>
      <c r="V99" s="27">
        <f>-$G$42/2+($G$28+$G$26/2)</f>
        <v>-8.288583349999623</v>
      </c>
      <c r="W99" s="27">
        <f>$G$28+$G$26/2</f>
        <v>0.2</v>
      </c>
      <c r="X99" s="27" t="s">
        <v>22</v>
      </c>
      <c r="Y99" s="27" t="s">
        <v>23</v>
      </c>
      <c r="Z99" s="27">
        <f>V99+$G$26/2</f>
        <v>-8.188583349999623</v>
      </c>
      <c r="AA99" s="27">
        <f>W99</f>
        <v>0.2</v>
      </c>
      <c r="AB99" s="58" t="s">
        <v>24</v>
      </c>
    </row>
    <row r="100" spans="18:28" ht="12.75">
      <c r="R100" s="48"/>
      <c r="S100" s="27"/>
      <c r="T100" s="27"/>
      <c r="U100" s="27"/>
      <c r="V100" s="27"/>
      <c r="W100" s="27"/>
      <c r="X100" s="27"/>
      <c r="Y100" s="27"/>
      <c r="Z100" s="27"/>
      <c r="AA100" s="27"/>
      <c r="AB100" s="58"/>
    </row>
    <row r="101" spans="2:28" ht="12.75">
      <c r="B101" s="1" t="s">
        <v>123</v>
      </c>
      <c r="C101" s="1" t="s">
        <v>33</v>
      </c>
      <c r="D101" s="1" t="s">
        <v>124</v>
      </c>
      <c r="F101" s="1" t="s">
        <v>33</v>
      </c>
      <c r="G101" s="49">
        <f>IF(AND(K97&gt;2,K99&gt;2),K97*$G$18,K99*$G$18)</f>
        <v>0.003304778910990375</v>
      </c>
      <c r="H101" s="21" t="s">
        <v>35</v>
      </c>
      <c r="R101" s="48"/>
      <c r="S101" s="27" t="s">
        <v>31</v>
      </c>
      <c r="T101" s="27">
        <v>0.01</v>
      </c>
      <c r="U101" s="27" t="s">
        <v>23</v>
      </c>
      <c r="V101" s="27">
        <f>$G$42/2-($G$28+$G$26/2)</f>
        <v>8.288583349999623</v>
      </c>
      <c r="W101" s="27">
        <f>$AA$58-($G$28+$G$26/2)</f>
        <v>4.226444890037762</v>
      </c>
      <c r="X101" s="27" t="s">
        <v>22</v>
      </c>
      <c r="Y101" s="27" t="s">
        <v>23</v>
      </c>
      <c r="Z101" s="27">
        <f>V101+$G$26/2</f>
        <v>8.388583349999623</v>
      </c>
      <c r="AA101" s="27">
        <f>W101</f>
        <v>4.226444890037762</v>
      </c>
      <c r="AB101" s="58" t="s">
        <v>24</v>
      </c>
    </row>
    <row r="102" spans="18:28" ht="12.75">
      <c r="R102" s="48"/>
      <c r="S102" s="27" t="s">
        <v>31</v>
      </c>
      <c r="T102" s="27">
        <v>0.01</v>
      </c>
      <c r="U102" s="27" t="s">
        <v>23</v>
      </c>
      <c r="V102" s="27">
        <f>$G$42/4</f>
        <v>4.244291674999811</v>
      </c>
      <c r="W102" s="27">
        <f>$AA$58-($G$28+$G$26/2)</f>
        <v>4.226444890037762</v>
      </c>
      <c r="X102" s="27" t="s">
        <v>22</v>
      </c>
      <c r="Y102" s="27" t="s">
        <v>23</v>
      </c>
      <c r="Z102" s="27">
        <f>V102+$G$26/2</f>
        <v>4.344291674999811</v>
      </c>
      <c r="AA102" s="27">
        <f>W102</f>
        <v>4.226444890037762</v>
      </c>
      <c r="AB102" s="58" t="s">
        <v>24</v>
      </c>
    </row>
    <row r="103" spans="1:28" ht="12.75">
      <c r="A103" s="59" t="s">
        <v>30</v>
      </c>
      <c r="R103" s="48"/>
      <c r="S103" s="27" t="s">
        <v>31</v>
      </c>
      <c r="T103" s="27">
        <v>0.01</v>
      </c>
      <c r="U103" s="27" t="s">
        <v>23</v>
      </c>
      <c r="V103" s="27">
        <v>0</v>
      </c>
      <c r="W103" s="27">
        <f>$AA$58-($G$28+$G$26/2)</f>
        <v>4.226444890037762</v>
      </c>
      <c r="X103" s="27" t="s">
        <v>22</v>
      </c>
      <c r="Y103" s="27" t="s">
        <v>23</v>
      </c>
      <c r="Z103" s="27">
        <f>V103+$G$26/2</f>
        <v>0.1</v>
      </c>
      <c r="AA103" s="27">
        <f>W103</f>
        <v>4.226444890037762</v>
      </c>
      <c r="AB103" s="58" t="s">
        <v>24</v>
      </c>
    </row>
    <row r="104" spans="18:28" ht="12.75">
      <c r="R104" s="48"/>
      <c r="S104" s="27" t="s">
        <v>31</v>
      </c>
      <c r="T104" s="27">
        <v>0.01</v>
      </c>
      <c r="U104" s="27" t="s">
        <v>23</v>
      </c>
      <c r="V104" s="27">
        <f>-$G$42/4</f>
        <v>-4.244291674999811</v>
      </c>
      <c r="W104" s="27">
        <f>$AA$58-($G$28+$G$26/2)</f>
        <v>4.226444890037762</v>
      </c>
      <c r="X104" s="27" t="s">
        <v>22</v>
      </c>
      <c r="Y104" s="27" t="s">
        <v>23</v>
      </c>
      <c r="Z104" s="27">
        <f>V104+$G$26/2</f>
        <v>-4.1442916749998115</v>
      </c>
      <c r="AA104" s="27">
        <f>W104</f>
        <v>4.226444890037762</v>
      </c>
      <c r="AB104" s="58" t="s">
        <v>24</v>
      </c>
    </row>
    <row r="105" spans="2:28" ht="12.75">
      <c r="B105" s="1" t="s">
        <v>64</v>
      </c>
      <c r="C105" s="1" t="s">
        <v>33</v>
      </c>
      <c r="D105" s="1" t="s">
        <v>98</v>
      </c>
      <c r="F105" s="1" t="s">
        <v>33</v>
      </c>
      <c r="G105" s="53">
        <f>SQRT(100*50)</f>
        <v>70.71067811865476</v>
      </c>
      <c r="H105" s="21" t="s">
        <v>99</v>
      </c>
      <c r="R105" s="48"/>
      <c r="S105" s="27" t="s">
        <v>31</v>
      </c>
      <c r="T105" s="27">
        <v>0.01</v>
      </c>
      <c r="U105" s="27" t="s">
        <v>23</v>
      </c>
      <c r="V105" s="27">
        <f>-$G$42/2+($G$28+$G$26/2)</f>
        <v>-8.288583349999623</v>
      </c>
      <c r="W105" s="27">
        <f>$AA$58-($G$28+$G$26/2)</f>
        <v>4.226444890037762</v>
      </c>
      <c r="X105" s="27" t="s">
        <v>22</v>
      </c>
      <c r="Y105" s="27" t="s">
        <v>23</v>
      </c>
      <c r="Z105" s="27">
        <f>V105+$G$26/2</f>
        <v>-8.188583349999623</v>
      </c>
      <c r="AA105" s="27">
        <f>W105</f>
        <v>4.226444890037762</v>
      </c>
      <c r="AB105" s="58" t="s">
        <v>24</v>
      </c>
    </row>
    <row r="106" spans="18:28" ht="12.75">
      <c r="R106" s="48"/>
      <c r="S106" s="27"/>
      <c r="T106" s="27"/>
      <c r="U106" s="27"/>
      <c r="V106" s="27"/>
      <c r="W106" s="27"/>
      <c r="X106" s="27"/>
      <c r="Y106" s="27"/>
      <c r="Z106" s="27"/>
      <c r="AA106" s="27"/>
      <c r="AB106" s="58"/>
    </row>
    <row r="107" spans="2:28" ht="12.75">
      <c r="B107" s="1" t="s">
        <v>78</v>
      </c>
      <c r="C107" s="1" t="s">
        <v>33</v>
      </c>
      <c r="D107" s="1" t="s">
        <v>79</v>
      </c>
      <c r="F107" s="1" t="s">
        <v>33</v>
      </c>
      <c r="G107" s="53">
        <f>377*PI()/(2*G105*SQRT($G$12))</f>
        <v>5.6454654028124835</v>
      </c>
      <c r="I107" s="1" t="s">
        <v>80</v>
      </c>
      <c r="K107" s="1">
        <f>2/PI()*(G107-1-LN(2*G107-1)+($G$12-1)/(2*$G$12)*(LN(G107-1)+0.39-0.61/$G$12))</f>
        <v>1.7595920795056181</v>
      </c>
      <c r="R107" s="48"/>
      <c r="S107" s="27" t="s">
        <v>31</v>
      </c>
      <c r="T107" s="27">
        <v>0.01</v>
      </c>
      <c r="U107" s="27" t="s">
        <v>23</v>
      </c>
      <c r="V107" s="27">
        <f>$G$42/2-($G$28+$G$26/2)</f>
        <v>8.288583349999623</v>
      </c>
      <c r="W107" s="27">
        <f>$V$9+($Z$9-$V$9)/2</f>
        <v>1.4510232265633634</v>
      </c>
      <c r="X107" s="27" t="s">
        <v>22</v>
      </c>
      <c r="Y107" s="27" t="s">
        <v>23</v>
      </c>
      <c r="Z107" s="27">
        <f>V107+$G$26/2</f>
        <v>8.388583349999623</v>
      </c>
      <c r="AA107" s="27">
        <f>W107</f>
        <v>1.4510232265633634</v>
      </c>
      <c r="AB107" s="58" t="s">
        <v>24</v>
      </c>
    </row>
    <row r="108" spans="2:28" ht="12.75">
      <c r="B108" s="1" t="s">
        <v>63</v>
      </c>
      <c r="C108" s="1" t="s">
        <v>33</v>
      </c>
      <c r="D108" s="1" t="s">
        <v>50</v>
      </c>
      <c r="F108" s="1" t="s">
        <v>33</v>
      </c>
      <c r="G108" s="53">
        <f>G105/60*SQRT(($G$12+1)/2)+($G$12-1)/($G$12+1)*(0.23+0.11/$G$12)</f>
        <v>1.595896167809022</v>
      </c>
      <c r="I108" s="1" t="s">
        <v>52</v>
      </c>
      <c r="K108" s="1">
        <f>8*EXP(G108)/(EXP(2*G108)-2)</f>
        <v>1.7670599224775214</v>
      </c>
      <c r="R108" s="48"/>
      <c r="S108" s="27" t="s">
        <v>31</v>
      </c>
      <c r="T108" s="27">
        <v>0.01</v>
      </c>
      <c r="U108" s="27" t="s">
        <v>23</v>
      </c>
      <c r="V108" s="27">
        <f>-$G$42/2+($G$28+$G$26/2)</f>
        <v>-8.288583349999623</v>
      </c>
      <c r="W108" s="27">
        <f>$V$9+($Z$9-$V$9)/2</f>
        <v>1.4510232265633634</v>
      </c>
      <c r="X108" s="27" t="s">
        <v>22</v>
      </c>
      <c r="Y108" s="27" t="s">
        <v>23</v>
      </c>
      <c r="Z108" s="27">
        <f>V108+$G$26/2</f>
        <v>-8.188583349999623</v>
      </c>
      <c r="AA108" s="27">
        <f>W108</f>
        <v>1.4510232265633634</v>
      </c>
      <c r="AB108" s="58" t="s">
        <v>24</v>
      </c>
    </row>
    <row r="109" spans="19:28" ht="12.75">
      <c r="S109" s="27"/>
      <c r="T109" s="27"/>
      <c r="U109" s="27"/>
      <c r="V109" s="27"/>
      <c r="W109" s="27"/>
      <c r="X109" s="27"/>
      <c r="Y109" s="27"/>
      <c r="Z109" s="27"/>
      <c r="AA109" s="27"/>
      <c r="AB109" s="58"/>
    </row>
    <row r="110" spans="2:28" ht="12.75">
      <c r="B110" s="1" t="s">
        <v>95</v>
      </c>
      <c r="C110" s="1" t="s">
        <v>33</v>
      </c>
      <c r="D110" s="1" t="s">
        <v>169</v>
      </c>
      <c r="F110" s="1" t="s">
        <v>33</v>
      </c>
      <c r="G110" s="49">
        <f>IF(AND(K107&gt;2,K108&gt;2),K107*$G$18,K108*$G$18)</f>
        <v>0.0032315991862268906</v>
      </c>
      <c r="H110" s="21" t="s">
        <v>35</v>
      </c>
      <c r="R110" s="48" t="s">
        <v>189</v>
      </c>
      <c r="S110" s="27" t="s">
        <v>26</v>
      </c>
      <c r="T110" s="27">
        <f>$G$24</f>
        <v>0.05</v>
      </c>
      <c r="U110" s="27" t="s">
        <v>23</v>
      </c>
      <c r="V110" s="27">
        <f>$G$42/2-($G$28+$G$26/2)</f>
        <v>8.288583349999623</v>
      </c>
      <c r="W110" s="27">
        <f>$G$28+$G$26/2</f>
        <v>0.2</v>
      </c>
      <c r="X110" s="27" t="s">
        <v>24</v>
      </c>
      <c r="Y110" s="27"/>
      <c r="Z110" s="27"/>
      <c r="AA110" s="27"/>
      <c r="AB110" s="58"/>
    </row>
    <row r="111" spans="2:28" ht="12.75">
      <c r="B111" s="1" t="s">
        <v>60</v>
      </c>
      <c r="C111" s="1" t="s">
        <v>33</v>
      </c>
      <c r="D111" s="1" t="s">
        <v>61</v>
      </c>
      <c r="F111" s="1" t="s">
        <v>33</v>
      </c>
      <c r="G111" s="52">
        <f>($G$12+1)/2+($G$12-1)/2/SQRT(1+12/($G$18/G110))</f>
        <v>1.7277294066212427</v>
      </c>
      <c r="R111" s="48"/>
      <c r="S111" s="27" t="s">
        <v>26</v>
      </c>
      <c r="T111" s="27">
        <f>$G$24</f>
        <v>0.05</v>
      </c>
      <c r="U111" s="27" t="s">
        <v>23</v>
      </c>
      <c r="V111" s="27">
        <f>$G$42/4</f>
        <v>4.244291674999811</v>
      </c>
      <c r="W111" s="27">
        <f>$G$28+$G$26/2</f>
        <v>0.2</v>
      </c>
      <c r="X111" s="27" t="s">
        <v>24</v>
      </c>
      <c r="Y111" s="27"/>
      <c r="Z111" s="27"/>
      <c r="AA111" s="27"/>
      <c r="AB111" s="58"/>
    </row>
    <row r="112" spans="2:28" ht="12.75">
      <c r="B112" s="1" t="s">
        <v>89</v>
      </c>
      <c r="C112" s="1" t="s">
        <v>33</v>
      </c>
      <c r="D112" s="1" t="s">
        <v>90</v>
      </c>
      <c r="F112" s="1" t="s">
        <v>33</v>
      </c>
      <c r="G112" s="49">
        <f>$M$36/SQRT(G111)</f>
        <v>0.0954300034205568</v>
      </c>
      <c r="H112" s="21" t="s">
        <v>35</v>
      </c>
      <c r="R112" s="48"/>
      <c r="S112" s="27" t="s">
        <v>26</v>
      </c>
      <c r="T112" s="27">
        <f>$G$24</f>
        <v>0.05</v>
      </c>
      <c r="U112" s="27" t="s">
        <v>23</v>
      </c>
      <c r="V112" s="27">
        <v>0</v>
      </c>
      <c r="W112" s="27">
        <f>$G$28+$G$26/2</f>
        <v>0.2</v>
      </c>
      <c r="X112" s="27" t="s">
        <v>24</v>
      </c>
      <c r="Y112" s="27"/>
      <c r="Z112" s="27"/>
      <c r="AA112" s="27"/>
      <c r="AB112" s="58"/>
    </row>
    <row r="113" spans="2:28" ht="12.75">
      <c r="B113" s="1" t="s">
        <v>119</v>
      </c>
      <c r="C113" s="1" t="s">
        <v>33</v>
      </c>
      <c r="D113" s="1" t="s">
        <v>39</v>
      </c>
      <c r="F113" s="1" t="s">
        <v>33</v>
      </c>
      <c r="G113" s="49">
        <f>G112/4</f>
        <v>0.0238575008551392</v>
      </c>
      <c r="H113" s="21" t="s">
        <v>35</v>
      </c>
      <c r="R113" s="48"/>
      <c r="S113" s="27" t="s">
        <v>26</v>
      </c>
      <c r="T113" s="27">
        <f>$G$24</f>
        <v>0.05</v>
      </c>
      <c r="U113" s="27" t="s">
        <v>23</v>
      </c>
      <c r="V113" s="27">
        <f>-$G$42/4</f>
        <v>-4.244291674999811</v>
      </c>
      <c r="W113" s="27">
        <f>$G$28+$G$26/2</f>
        <v>0.2</v>
      </c>
      <c r="X113" s="27" t="s">
        <v>24</v>
      </c>
      <c r="Y113" s="27"/>
      <c r="Z113" s="27"/>
      <c r="AA113" s="27"/>
      <c r="AB113" s="58"/>
    </row>
    <row r="114" spans="7:28" ht="12.75">
      <c r="G114" s="49"/>
      <c r="R114" s="48"/>
      <c r="S114" s="27" t="s">
        <v>26</v>
      </c>
      <c r="T114" s="27">
        <f>$G$24</f>
        <v>0.05</v>
      </c>
      <c r="U114" s="27" t="s">
        <v>23</v>
      </c>
      <c r="V114" s="27">
        <f>-$G$42/2+($G$28+$G$26/2)</f>
        <v>-8.288583349999623</v>
      </c>
      <c r="W114" s="27">
        <f>$G$28+$G$26/2</f>
        <v>0.2</v>
      </c>
      <c r="X114" s="27" t="s">
        <v>24</v>
      </c>
      <c r="Y114" s="27"/>
      <c r="Z114" s="27"/>
      <c r="AA114" s="27"/>
      <c r="AB114" s="58"/>
    </row>
    <row r="115" spans="1:28" ht="12.75">
      <c r="A115" s="59" t="s">
        <v>176</v>
      </c>
      <c r="R115" s="48"/>
      <c r="S115" s="27"/>
      <c r="T115" s="27"/>
      <c r="U115" s="27"/>
      <c r="V115" s="27"/>
      <c r="W115" s="27"/>
      <c r="X115" s="27"/>
      <c r="Y115" s="27"/>
      <c r="Z115" s="27"/>
      <c r="AA115" s="27"/>
      <c r="AB115" s="58"/>
    </row>
    <row r="116" spans="18:28" ht="12.75">
      <c r="R116" s="48"/>
      <c r="S116" s="27" t="s">
        <v>26</v>
      </c>
      <c r="T116" s="27">
        <f>$G$24</f>
        <v>0.05</v>
      </c>
      <c r="U116" s="27" t="s">
        <v>23</v>
      </c>
      <c r="V116" s="27">
        <f>$G$42/2-($G$28+$G$26/2)</f>
        <v>8.288583349999623</v>
      </c>
      <c r="W116" s="27">
        <f>$AA$58-($G$28+$G$26/2)</f>
        <v>4.226444890037762</v>
      </c>
      <c r="X116" s="27" t="s">
        <v>24</v>
      </c>
      <c r="Y116" s="27"/>
      <c r="Z116" s="27"/>
      <c r="AA116" s="27"/>
      <c r="AB116" s="58"/>
    </row>
    <row r="117" spans="2:28" ht="12.75">
      <c r="B117" s="1" t="s">
        <v>227</v>
      </c>
      <c r="C117" s="1" t="s">
        <v>33</v>
      </c>
      <c r="D117" s="1" t="s">
        <v>98</v>
      </c>
      <c r="F117" s="1" t="s">
        <v>33</v>
      </c>
      <c r="G117" s="53">
        <f>SQRT(100*G95)</f>
        <v>83.55405987304691</v>
      </c>
      <c r="H117" s="21" t="s">
        <v>99</v>
      </c>
      <c r="R117" s="48"/>
      <c r="S117" s="27" t="s">
        <v>26</v>
      </c>
      <c r="T117" s="27">
        <f>$G$24</f>
        <v>0.05</v>
      </c>
      <c r="U117" s="27" t="s">
        <v>23</v>
      </c>
      <c r="V117" s="27">
        <f>$G$42/4</f>
        <v>4.244291674999811</v>
      </c>
      <c r="W117" s="27">
        <f>$AA$58-($G$28+$G$26/2)</f>
        <v>4.226444890037762</v>
      </c>
      <c r="X117" s="27" t="s">
        <v>24</v>
      </c>
      <c r="Y117" s="27"/>
      <c r="Z117" s="27"/>
      <c r="AA117" s="27"/>
      <c r="AB117" s="58"/>
    </row>
    <row r="118" spans="18:28" ht="12.75">
      <c r="R118" s="48"/>
      <c r="S118" s="27" t="s">
        <v>26</v>
      </c>
      <c r="T118" s="27">
        <f>$G$24</f>
        <v>0.05</v>
      </c>
      <c r="U118" s="27" t="s">
        <v>23</v>
      </c>
      <c r="V118" s="27">
        <v>0</v>
      </c>
      <c r="W118" s="27">
        <f>$AA$58-($G$28+$G$26/2)</f>
        <v>4.226444890037762</v>
      </c>
      <c r="X118" s="27" t="s">
        <v>24</v>
      </c>
      <c r="Y118" s="27"/>
      <c r="Z118" s="27"/>
      <c r="AA118" s="27"/>
      <c r="AB118" s="58"/>
    </row>
    <row r="119" spans="2:28" ht="12.75">
      <c r="B119" s="1" t="s">
        <v>78</v>
      </c>
      <c r="C119" s="1" t="s">
        <v>33</v>
      </c>
      <c r="D119" s="1" t="s">
        <v>79</v>
      </c>
      <c r="F119" s="1" t="s">
        <v>33</v>
      </c>
      <c r="G119" s="53">
        <f>377*PI()/(2*G117*SQRT($G$12))</f>
        <v>4.777681509849032</v>
      </c>
      <c r="I119" s="1" t="s">
        <v>80</v>
      </c>
      <c r="K119" s="1">
        <f>2/PI()*(G119-1-LN(2*G119-1)+($G$12-1)/(2*$G$12)*(LN(G119-1)+0.39-0.61/$G$12))</f>
        <v>1.288819289565483</v>
      </c>
      <c r="R119" s="48"/>
      <c r="S119" s="27" t="s">
        <v>26</v>
      </c>
      <c r="T119" s="27">
        <f>$G$24</f>
        <v>0.05</v>
      </c>
      <c r="U119" s="27" t="s">
        <v>23</v>
      </c>
      <c r="V119" s="27">
        <f>-$G$42/4</f>
        <v>-4.244291674999811</v>
      </c>
      <c r="W119" s="27">
        <f>$AA$58-($G$28+$G$26/2)</f>
        <v>4.226444890037762</v>
      </c>
      <c r="X119" s="27" t="s">
        <v>24</v>
      </c>
      <c r="Y119" s="27"/>
      <c r="Z119" s="27"/>
      <c r="AA119" s="27"/>
      <c r="AB119" s="58"/>
    </row>
    <row r="120" spans="2:28" ht="12.75">
      <c r="B120" s="1" t="s">
        <v>63</v>
      </c>
      <c r="C120" s="1" t="s">
        <v>33</v>
      </c>
      <c r="D120" s="1" t="s">
        <v>50</v>
      </c>
      <c r="F120" s="1" t="s">
        <v>33</v>
      </c>
      <c r="G120" s="53">
        <f>G117/60*SQRT(($G$12+1)/2)+($G$12-1)/($G$12+1)*(0.23+0.11/$G$12)</f>
        <v>1.8666863500804822</v>
      </c>
      <c r="I120" s="1" t="s">
        <v>52</v>
      </c>
      <c r="K120" s="1">
        <f>8*EXP(G120)/(EXP(2*G120)-2)</f>
        <v>1.2992155861817545</v>
      </c>
      <c r="R120" s="48"/>
      <c r="S120" s="27" t="s">
        <v>26</v>
      </c>
      <c r="T120" s="27">
        <f>$G$24</f>
        <v>0.05</v>
      </c>
      <c r="U120" s="27" t="s">
        <v>23</v>
      </c>
      <c r="V120" s="27">
        <f>-$G$42/2+($G$28+$G$26/2)</f>
        <v>-8.288583349999623</v>
      </c>
      <c r="W120" s="27">
        <f>$AA$58-($G$28+$G$26/2)</f>
        <v>4.226444890037762</v>
      </c>
      <c r="X120" s="27" t="s">
        <v>24</v>
      </c>
      <c r="Y120" s="27"/>
      <c r="Z120" s="27"/>
      <c r="AA120" s="27"/>
      <c r="AB120" s="58"/>
    </row>
    <row r="121" spans="18:28" ht="12.75">
      <c r="R121" s="48"/>
      <c r="S121" s="27"/>
      <c r="T121" s="27"/>
      <c r="U121" s="27"/>
      <c r="V121" s="27"/>
      <c r="W121" s="27"/>
      <c r="X121" s="27"/>
      <c r="Y121" s="27"/>
      <c r="Z121" s="27"/>
      <c r="AA121" s="27"/>
      <c r="AB121" s="58"/>
    </row>
    <row r="122" spans="2:28" ht="12.75">
      <c r="B122" s="1" t="s">
        <v>168</v>
      </c>
      <c r="C122" s="1" t="s">
        <v>33</v>
      </c>
      <c r="D122" s="1" t="s">
        <v>169</v>
      </c>
      <c r="F122" s="1" t="s">
        <v>33</v>
      </c>
      <c r="G122" s="49">
        <f>IF(AND(K119&gt;2,K120&gt;2),K119*$G$18,K120*$G$18)</f>
        <v>0.0023760054640091922</v>
      </c>
      <c r="H122" s="21" t="s">
        <v>35</v>
      </c>
      <c r="R122" s="48"/>
      <c r="S122" s="27" t="s">
        <v>26</v>
      </c>
      <c r="T122" s="27">
        <f>$G$24</f>
        <v>0.05</v>
      </c>
      <c r="U122" s="27" t="s">
        <v>23</v>
      </c>
      <c r="V122" s="27">
        <f>$G$42/2-($G$28+$G$26/2)</f>
        <v>8.288583349999623</v>
      </c>
      <c r="W122" s="27">
        <f>$V$9+($Z$9-$V$9)/2</f>
        <v>1.4510232265633634</v>
      </c>
      <c r="X122" s="27" t="s">
        <v>24</v>
      </c>
      <c r="Y122" s="27"/>
      <c r="Z122" s="27"/>
      <c r="AA122" s="27"/>
      <c r="AB122" s="58"/>
    </row>
    <row r="123" spans="2:28" ht="12.75">
      <c r="B123" s="1" t="s">
        <v>60</v>
      </c>
      <c r="C123" s="1" t="s">
        <v>33</v>
      </c>
      <c r="D123" s="1" t="s">
        <v>61</v>
      </c>
      <c r="F123" s="1" t="s">
        <v>33</v>
      </c>
      <c r="G123" s="52">
        <f>($G$12+1)/2+($G$12-1)/2/SQRT(1+12/(G122/$G$18))</f>
        <v>1.7879666387619184</v>
      </c>
      <c r="R123" s="48"/>
      <c r="S123" s="27" t="s">
        <v>26</v>
      </c>
      <c r="T123" s="27">
        <f>$G$24</f>
        <v>0.05</v>
      </c>
      <c r="U123" s="27" t="s">
        <v>23</v>
      </c>
      <c r="V123" s="27">
        <f>-$G$42/2+($G$28+$G$26/2)</f>
        <v>-8.288583349999623</v>
      </c>
      <c r="W123" s="27">
        <f>$V$9+($Z$9-$V$9)/2</f>
        <v>1.4510232265633634</v>
      </c>
      <c r="X123" s="27" t="s">
        <v>24</v>
      </c>
      <c r="Y123" s="27"/>
      <c r="Z123" s="27"/>
      <c r="AA123" s="27"/>
      <c r="AB123" s="58"/>
    </row>
    <row r="124" spans="2:28" ht="12.75">
      <c r="B124" s="1" t="s">
        <v>225</v>
      </c>
      <c r="C124" s="1" t="s">
        <v>33</v>
      </c>
      <c r="D124" s="1" t="s">
        <v>90</v>
      </c>
      <c r="F124" s="1" t="s">
        <v>33</v>
      </c>
      <c r="G124" s="49">
        <f>M36/SQRT(G123)</f>
        <v>0.09380869543244993</v>
      </c>
      <c r="H124" s="21" t="s">
        <v>35</v>
      </c>
      <c r="S124" s="27"/>
      <c r="T124" s="27"/>
      <c r="U124" s="27"/>
      <c r="V124" s="27"/>
      <c r="W124" s="27"/>
      <c r="X124" s="27"/>
      <c r="Y124" s="27"/>
      <c r="Z124" s="27"/>
      <c r="AA124" s="27"/>
      <c r="AB124" s="58"/>
    </row>
    <row r="125" spans="2:28" ht="12.75">
      <c r="B125" s="1" t="s">
        <v>38</v>
      </c>
      <c r="C125" s="1" t="s">
        <v>33</v>
      </c>
      <c r="D125" s="1" t="s">
        <v>39</v>
      </c>
      <c r="F125" s="1" t="s">
        <v>33</v>
      </c>
      <c r="G125" s="49">
        <f>G124/4</f>
        <v>0.023452173858112484</v>
      </c>
      <c r="H125" s="21" t="s">
        <v>35</v>
      </c>
      <c r="R125" s="48" t="s">
        <v>203</v>
      </c>
      <c r="S125" s="27" t="s">
        <v>149</v>
      </c>
      <c r="T125" s="27" t="s">
        <v>204</v>
      </c>
      <c r="U125" s="27"/>
      <c r="V125" s="27"/>
      <c r="W125" s="27"/>
      <c r="X125" s="27"/>
      <c r="Y125" s="27"/>
      <c r="Z125" s="27"/>
      <c r="AA125" s="27"/>
      <c r="AB125" s="58"/>
    </row>
    <row r="126" spans="18:28" ht="12.75">
      <c r="R126" s="48"/>
      <c r="S126" s="27" t="s">
        <v>31</v>
      </c>
      <c r="T126" s="27">
        <v>0.01</v>
      </c>
      <c r="U126" s="27" t="s">
        <v>23</v>
      </c>
      <c r="V126" s="27">
        <v>0</v>
      </c>
      <c r="W126" s="27">
        <f>$W$55</f>
        <v>3.6555437630473406</v>
      </c>
      <c r="X126" s="27" t="s">
        <v>22</v>
      </c>
      <c r="Y126" s="27" t="s">
        <v>23</v>
      </c>
      <c r="Z126" s="27">
        <f>V126+1/2*0.5</f>
        <v>0.25</v>
      </c>
      <c r="AA126" s="27">
        <f>W126</f>
        <v>3.6555437630473406</v>
      </c>
      <c r="AB126" s="58" t="s">
        <v>24</v>
      </c>
    </row>
    <row r="127" spans="1:28" ht="12.75">
      <c r="A127" s="8"/>
      <c r="B127" s="8" t="s">
        <v>101</v>
      </c>
      <c r="C127" s="8"/>
      <c r="D127" s="8"/>
      <c r="E127" s="8"/>
      <c r="F127" s="8"/>
      <c r="G127" s="8"/>
      <c r="H127" s="16"/>
      <c r="I127" s="8"/>
      <c r="J127" s="8"/>
      <c r="K127" s="8"/>
      <c r="L127" s="8"/>
      <c r="M127" s="8"/>
      <c r="N127" s="8"/>
      <c r="O127" s="8"/>
      <c r="P127" s="8"/>
      <c r="R127" s="48"/>
      <c r="S127" s="27"/>
      <c r="T127" s="27"/>
      <c r="U127" s="27"/>
      <c r="V127" s="27"/>
      <c r="W127" s="27"/>
      <c r="X127" s="27"/>
      <c r="Y127" s="27"/>
      <c r="Z127" s="27"/>
      <c r="AA127" s="27"/>
      <c r="AB127" s="58"/>
    </row>
    <row r="128" spans="18:28" ht="12.75">
      <c r="R128" s="48"/>
      <c r="S128" s="27" t="s">
        <v>31</v>
      </c>
      <c r="T128" s="27">
        <v>0.01</v>
      </c>
      <c r="U128" s="27" t="s">
        <v>23</v>
      </c>
      <c r="V128" s="27">
        <f>$G$42/2-($G$28+$G$26/2)</f>
        <v>8.288583349999623</v>
      </c>
      <c r="W128" s="27">
        <f>$G$28+$G$26/2</f>
        <v>0.2</v>
      </c>
      <c r="X128" s="27" t="s">
        <v>22</v>
      </c>
      <c r="Y128" s="27" t="s">
        <v>23</v>
      </c>
      <c r="Z128" s="27">
        <f>V128+$G$27/2</f>
        <v>8.333083349999622</v>
      </c>
      <c r="AA128" s="27">
        <f>W128</f>
        <v>0.2</v>
      </c>
      <c r="AB128" s="58" t="s">
        <v>24</v>
      </c>
    </row>
    <row r="129" spans="2:28" ht="12.75">
      <c r="B129" s="9">
        <f>B135*B132/(2*B131*SQRT(B130))</f>
        <v>0.04018397990941887</v>
      </c>
      <c r="D129" s="9" t="s">
        <v>161</v>
      </c>
      <c r="R129" s="48"/>
      <c r="S129" s="27" t="s">
        <v>31</v>
      </c>
      <c r="T129" s="27">
        <v>0.01</v>
      </c>
      <c r="U129" s="27" t="s">
        <v>23</v>
      </c>
      <c r="V129" s="27">
        <f>$G$42/4</f>
        <v>4.244291674999811</v>
      </c>
      <c r="W129" s="27">
        <f>$G$28+$G$26/2</f>
        <v>0.2</v>
      </c>
      <c r="X129" s="27" t="s">
        <v>22</v>
      </c>
      <c r="Y129" s="27" t="s">
        <v>23</v>
      </c>
      <c r="Z129" s="27">
        <f>V129+$G$27/2</f>
        <v>4.288791674999811</v>
      </c>
      <c r="AA129" s="27">
        <f>W129</f>
        <v>0.2</v>
      </c>
      <c r="AB129" s="58" t="s">
        <v>24</v>
      </c>
    </row>
    <row r="130" spans="2:28" ht="12.75">
      <c r="B130" s="9">
        <f>$G$12</f>
        <v>2.20066</v>
      </c>
      <c r="D130" s="9" t="s">
        <v>192</v>
      </c>
      <c r="R130" s="48"/>
      <c r="S130" s="27" t="s">
        <v>31</v>
      </c>
      <c r="T130" s="27">
        <v>0.01</v>
      </c>
      <c r="U130" s="27" t="s">
        <v>23</v>
      </c>
      <c r="V130" s="27">
        <v>0</v>
      </c>
      <c r="W130" s="27">
        <f>$G$28+$G$26/2</f>
        <v>0.2</v>
      </c>
      <c r="X130" s="27" t="s">
        <v>22</v>
      </c>
      <c r="Y130" s="27" t="s">
        <v>23</v>
      </c>
      <c r="Z130" s="27">
        <f>V130+$G$27/2</f>
        <v>0.0445</v>
      </c>
      <c r="AA130" s="27">
        <f>W130</f>
        <v>0.2</v>
      </c>
      <c r="AB130" s="58" t="s">
        <v>24</v>
      </c>
    </row>
    <row r="131" spans="2:28" ht="12.75">
      <c r="B131" s="9">
        <f>PI()</f>
        <v>3.141592653589793</v>
      </c>
      <c r="D131" s="9" t="s">
        <v>219</v>
      </c>
      <c r="R131" s="48"/>
      <c r="S131" s="27" t="s">
        <v>31</v>
      </c>
      <c r="T131" s="27">
        <v>0.01</v>
      </c>
      <c r="U131" s="27" t="s">
        <v>23</v>
      </c>
      <c r="V131" s="27">
        <f>-$G$42/4</f>
        <v>-4.244291674999811</v>
      </c>
      <c r="W131" s="27">
        <f>$G$28+$G$26/2</f>
        <v>0.2</v>
      </c>
      <c r="X131" s="27" t="s">
        <v>22</v>
      </c>
      <c r="Y131" s="27" t="s">
        <v>23</v>
      </c>
      <c r="Z131" s="27">
        <f>V131+$G$27/2</f>
        <v>-4.199791674999811</v>
      </c>
      <c r="AA131" s="27">
        <f>W131</f>
        <v>0.2</v>
      </c>
      <c r="AB131" s="58" t="s">
        <v>24</v>
      </c>
    </row>
    <row r="132" spans="2:28" ht="12.75">
      <c r="B132" s="9">
        <f>B133/B134</f>
        <v>0.1254361748953975</v>
      </c>
      <c r="D132" s="9" t="s">
        <v>29</v>
      </c>
      <c r="R132" s="48"/>
      <c r="S132" s="27" t="s">
        <v>31</v>
      </c>
      <c r="T132" s="27">
        <v>0.01</v>
      </c>
      <c r="U132" s="27" t="s">
        <v>23</v>
      </c>
      <c r="V132" s="27">
        <f>-$G$42/2+($G$28+$G$26/2)</f>
        <v>-8.288583349999623</v>
      </c>
      <c r="W132" s="27">
        <f>$G$28+$G$26/2</f>
        <v>0.2</v>
      </c>
      <c r="X132" s="27" t="s">
        <v>22</v>
      </c>
      <c r="Y132" s="27" t="s">
        <v>23</v>
      </c>
      <c r="Z132" s="27">
        <f>V132+$G$27/2</f>
        <v>-8.244083349999624</v>
      </c>
      <c r="AA132" s="27">
        <f>W132</f>
        <v>0.2</v>
      </c>
      <c r="AB132" s="58" t="s">
        <v>24</v>
      </c>
    </row>
    <row r="133" spans="2:28" ht="12.75">
      <c r="B133" s="9">
        <v>299792458</v>
      </c>
      <c r="D133" s="9" t="s">
        <v>68</v>
      </c>
      <c r="R133" s="48"/>
      <c r="S133" s="27"/>
      <c r="T133" s="27"/>
      <c r="U133" s="27"/>
      <c r="V133" s="27"/>
      <c r="W133" s="27"/>
      <c r="X133" s="27"/>
      <c r="Y133" s="27"/>
      <c r="Z133" s="27"/>
      <c r="AA133" s="27"/>
      <c r="AB133" s="58"/>
    </row>
    <row r="134" spans="2:28" ht="12.75">
      <c r="B134" s="18">
        <f>$G$13</f>
        <v>2390000000</v>
      </c>
      <c r="D134" s="9" t="s">
        <v>97</v>
      </c>
      <c r="R134" s="48"/>
      <c r="S134" s="27" t="s">
        <v>31</v>
      </c>
      <c r="T134" s="27">
        <v>0.01</v>
      </c>
      <c r="U134" s="27" t="s">
        <v>23</v>
      </c>
      <c r="V134" s="27">
        <f>$G$42/2-($G$28+$G$26/2)</f>
        <v>8.288583349999623</v>
      </c>
      <c r="W134" s="27">
        <f>$AA$58-($G$28+$G$26/2)</f>
        <v>4.226444890037762</v>
      </c>
      <c r="X134" s="27" t="s">
        <v>22</v>
      </c>
      <c r="Y134" s="27" t="s">
        <v>23</v>
      </c>
      <c r="Z134" s="27">
        <f>V134+$G$27/2</f>
        <v>8.333083349999622</v>
      </c>
      <c r="AA134" s="27">
        <f>W134</f>
        <v>4.226444890037762</v>
      </c>
      <c r="AB134" s="58" t="s">
        <v>24</v>
      </c>
    </row>
    <row r="135" spans="2:28" ht="12.75">
      <c r="B135" s="9">
        <f>ACOS((B140*B140+B136*B136-1/(B142*B142))/SQRT((B140*B140+B136*B136)^2+1/B142^4+2*(B140-B136)*(B140+B136)/(B142*B142)))</f>
        <v>2.9859772133967475</v>
      </c>
      <c r="D135" s="9" t="s">
        <v>128</v>
      </c>
      <c r="R135" s="48"/>
      <c r="S135" s="27" t="s">
        <v>31</v>
      </c>
      <c r="T135" s="27">
        <v>0.01</v>
      </c>
      <c r="U135" s="27" t="s">
        <v>23</v>
      </c>
      <c r="V135" s="27">
        <f>$G$42/4</f>
        <v>4.244291674999811</v>
      </c>
      <c r="W135" s="27">
        <f>$AA$58-($G$28+$G$26/2)</f>
        <v>4.226444890037762</v>
      </c>
      <c r="X135" s="27" t="s">
        <v>22</v>
      </c>
      <c r="Y135" s="27" t="s">
        <v>23</v>
      </c>
      <c r="Z135" s="27">
        <f>V135+$G$27/2</f>
        <v>4.288791674999811</v>
      </c>
      <c r="AA135" s="27">
        <f>W135</f>
        <v>4.226444890037762</v>
      </c>
      <c r="AB135" s="58" t="s">
        <v>24</v>
      </c>
    </row>
    <row r="136" spans="2:28" ht="12.75">
      <c r="B136" s="9">
        <f>B137/(120*B132)</f>
        <v>0.028266346735694028</v>
      </c>
      <c r="D136" s="9" t="s">
        <v>154</v>
      </c>
      <c r="R136" s="48"/>
      <c r="S136" s="27" t="s">
        <v>31</v>
      </c>
      <c r="T136" s="27">
        <v>0.01</v>
      </c>
      <c r="U136" s="27" t="s">
        <v>23</v>
      </c>
      <c r="V136" s="27">
        <v>0</v>
      </c>
      <c r="W136" s="27">
        <f>$AA$58-($G$28+$G$26/2)</f>
        <v>4.226444890037762</v>
      </c>
      <c r="X136" s="27" t="s">
        <v>22</v>
      </c>
      <c r="Y136" s="27" t="s">
        <v>23</v>
      </c>
      <c r="Z136" s="27">
        <f>V136+$G$27/2</f>
        <v>0.0445</v>
      </c>
      <c r="AA136" s="27">
        <f>W136</f>
        <v>4.226444890037762</v>
      </c>
      <c r="AB136" s="58" t="s">
        <v>24</v>
      </c>
    </row>
    <row r="137" spans="2:28" ht="12.75">
      <c r="B137" s="9">
        <f>B131*(B138+B139)</f>
        <v>0.4254746895350957</v>
      </c>
      <c r="D137" s="9" t="s">
        <v>184</v>
      </c>
      <c r="R137" s="48"/>
      <c r="S137" s="27" t="s">
        <v>31</v>
      </c>
      <c r="T137" s="27">
        <v>0.01</v>
      </c>
      <c r="U137" s="27" t="s">
        <v>23</v>
      </c>
      <c r="V137" s="27">
        <f>-$G$42/4</f>
        <v>-4.244291674999811</v>
      </c>
      <c r="W137" s="27">
        <f>$AA$58-($G$28+$G$26/2)</f>
        <v>4.226444890037762</v>
      </c>
      <c r="X137" s="27" t="s">
        <v>22</v>
      </c>
      <c r="Y137" s="27" t="s">
        <v>23</v>
      </c>
      <c r="Z137" s="27">
        <f>V137+$G$27/2</f>
        <v>-4.199791674999811</v>
      </c>
      <c r="AA137" s="27">
        <f>W137</f>
        <v>4.226444890037762</v>
      </c>
      <c r="AB137" s="58" t="s">
        <v>24</v>
      </c>
    </row>
    <row r="138" spans="2:28" ht="12.75">
      <c r="B138" s="33">
        <f>$G$16</f>
        <v>0.13335</v>
      </c>
      <c r="D138" s="9" t="s">
        <v>215</v>
      </c>
      <c r="R138" s="48"/>
      <c r="S138" s="27" t="s">
        <v>31</v>
      </c>
      <c r="T138" s="27">
        <v>0.01</v>
      </c>
      <c r="U138" s="27" t="s">
        <v>23</v>
      </c>
      <c r="V138" s="27">
        <f>-$G$42/2+($G$28+$G$26/2)</f>
        <v>-8.288583349999623</v>
      </c>
      <c r="W138" s="27">
        <f>$AA$58-($G$28+$G$26/2)</f>
        <v>4.226444890037762</v>
      </c>
      <c r="X138" s="27" t="s">
        <v>22</v>
      </c>
      <c r="Y138" s="27" t="s">
        <v>23</v>
      </c>
      <c r="Z138" s="27">
        <f>V138+$G$27/2</f>
        <v>-8.244083349999624</v>
      </c>
      <c r="AA138" s="27">
        <f>W138</f>
        <v>4.226444890037762</v>
      </c>
      <c r="AB138" s="58" t="s">
        <v>24</v>
      </c>
    </row>
    <row r="139" spans="2:28" ht="12.75">
      <c r="B139" s="38">
        <f>$G$17+$G$18+$G$20</f>
        <v>0.0020827999999999997</v>
      </c>
      <c r="D139" s="9" t="s">
        <v>234</v>
      </c>
      <c r="R139" s="48"/>
      <c r="S139" s="27"/>
      <c r="T139" s="27"/>
      <c r="U139" s="27"/>
      <c r="V139" s="27"/>
      <c r="W139" s="27"/>
      <c r="X139" s="27"/>
      <c r="Y139" s="27"/>
      <c r="Z139" s="27"/>
      <c r="AA139" s="27"/>
      <c r="AB139" s="58"/>
    </row>
    <row r="140" spans="2:28" ht="12.75">
      <c r="B140" s="9">
        <f>B137/(120*B131*B132)*(-0.540754132818691-2*LN(B134*B141/B133))</f>
        <v>0.07121955535822341</v>
      </c>
      <c r="D140" s="9" t="s">
        <v>54</v>
      </c>
      <c r="R140" s="48"/>
      <c r="S140" s="27" t="s">
        <v>31</v>
      </c>
      <c r="T140" s="27">
        <v>0.01</v>
      </c>
      <c r="U140" s="27" t="s">
        <v>23</v>
      </c>
      <c r="V140" s="27">
        <f>$G$42/2-($G$28+$G$26/2)</f>
        <v>8.288583349999623</v>
      </c>
      <c r="W140" s="27">
        <f>$V$9+($Z$9-$V$9)/2</f>
        <v>1.4510232265633634</v>
      </c>
      <c r="X140" s="27" t="s">
        <v>22</v>
      </c>
      <c r="Y140" s="27" t="s">
        <v>23</v>
      </c>
      <c r="Z140" s="27">
        <f>V140+$G$27/2</f>
        <v>8.333083349999622</v>
      </c>
      <c r="AA140" s="27">
        <f>W140</f>
        <v>1.4510232265633634</v>
      </c>
      <c r="AB140" s="58" t="s">
        <v>24</v>
      </c>
    </row>
    <row r="141" spans="2:28" ht="12.75">
      <c r="B141" s="33">
        <f>$G$18</f>
        <v>0.0018287999999999998</v>
      </c>
      <c r="D141" s="9" t="s">
        <v>85</v>
      </c>
      <c r="R141" s="48"/>
      <c r="S141" s="27" t="s">
        <v>31</v>
      </c>
      <c r="T141" s="27">
        <v>0.01</v>
      </c>
      <c r="U141" s="27" t="s">
        <v>23</v>
      </c>
      <c r="V141" s="27">
        <f>-$G$42/2+($G$28+$G$26/2)</f>
        <v>-8.288583349999623</v>
      </c>
      <c r="W141" s="27">
        <f>$V$9+($Z$9-$V$9)/2</f>
        <v>1.4510232265633634</v>
      </c>
      <c r="X141" s="27" t="s">
        <v>22</v>
      </c>
      <c r="Y141" s="27" t="s">
        <v>23</v>
      </c>
      <c r="Z141" s="27">
        <f>V141+$G$27/2</f>
        <v>-8.244083349999624</v>
      </c>
      <c r="AA141" s="27">
        <f>W141</f>
        <v>1.4510232265633634</v>
      </c>
      <c r="AB141" s="58" t="s">
        <v>24</v>
      </c>
    </row>
    <row r="142" spans="2:28" ht="12.75">
      <c r="B142" s="9">
        <f>SQRT(B143/B144)*LN(1+2*B141/B138)/(2*B131)</f>
        <v>1.0936751481280127</v>
      </c>
      <c r="D142" s="9" t="s">
        <v>117</v>
      </c>
      <c r="S142" s="27"/>
      <c r="T142" s="27"/>
      <c r="U142" s="27"/>
      <c r="V142" s="27"/>
      <c r="W142" s="27"/>
      <c r="X142" s="27"/>
      <c r="Y142" s="27"/>
      <c r="Z142" s="27"/>
      <c r="AA142" s="27"/>
      <c r="AB142" s="58"/>
    </row>
    <row r="143" spans="2:28" ht="12.75">
      <c r="B143" s="9">
        <f>B145</f>
        <v>1.2566370614359173E-06</v>
      </c>
      <c r="D143" s="9" t="s">
        <v>151</v>
      </c>
      <c r="R143" s="48" t="s">
        <v>91</v>
      </c>
      <c r="S143" s="46" t="s">
        <v>92</v>
      </c>
      <c r="T143" s="27"/>
      <c r="U143" s="27"/>
      <c r="V143" s="27"/>
      <c r="W143" s="27"/>
      <c r="X143" s="27"/>
      <c r="Y143" s="27"/>
      <c r="Z143" s="27"/>
      <c r="AA143" s="27"/>
      <c r="AB143" s="58"/>
    </row>
    <row r="144" spans="2:28" ht="12.75">
      <c r="B144" s="9">
        <f>B130/(B145*B133*B133)</f>
        <v>1.9485056962724487E-11</v>
      </c>
      <c r="D144" s="9" t="s">
        <v>174</v>
      </c>
      <c r="R144" s="48"/>
      <c r="S144" s="46" t="s">
        <v>120</v>
      </c>
      <c r="T144" s="27"/>
      <c r="U144" s="27"/>
      <c r="V144" s="27"/>
      <c r="W144" s="27"/>
      <c r="X144" s="27"/>
      <c r="Y144" s="27"/>
      <c r="Z144" s="27"/>
      <c r="AA144" s="27"/>
      <c r="AB144" s="58"/>
    </row>
    <row r="145" spans="2:28" ht="12.75">
      <c r="B145" s="9">
        <f>B131/2500000</f>
        <v>1.2566370614359173E-06</v>
      </c>
      <c r="D145" s="9" t="s">
        <v>206</v>
      </c>
      <c r="R145" s="48"/>
      <c r="S145" s="27" t="s">
        <v>153</v>
      </c>
      <c r="T145" s="27" t="s">
        <v>23</v>
      </c>
      <c r="U145" s="27">
        <v>0</v>
      </c>
      <c r="V145" s="27">
        <f>-1*$W$58</f>
        <v>-4.426444890037762</v>
      </c>
      <c r="W145" s="27" t="s">
        <v>24</v>
      </c>
      <c r="X145" s="27"/>
      <c r="Y145" s="27"/>
      <c r="Z145" s="27"/>
      <c r="AA145" s="27"/>
      <c r="AB145" s="58"/>
    </row>
    <row r="146" spans="19:28" ht="12.75">
      <c r="S146" s="27"/>
      <c r="T146" s="27"/>
      <c r="U146" s="27"/>
      <c r="V146" s="27"/>
      <c r="W146" s="27"/>
      <c r="X146" s="27"/>
      <c r="Y146" s="27"/>
      <c r="Z146" s="27"/>
      <c r="AA146" s="27"/>
      <c r="AB146" s="58"/>
    </row>
    <row r="147" spans="18:28" ht="12.75">
      <c r="R147" s="48" t="s">
        <v>209</v>
      </c>
      <c r="S147" s="27" t="s">
        <v>181</v>
      </c>
      <c r="T147" s="27"/>
      <c r="U147" s="27"/>
      <c r="V147" s="27"/>
      <c r="W147" s="27"/>
      <c r="X147" s="27"/>
      <c r="Y147" s="27"/>
      <c r="Z147" s="27"/>
      <c r="AA147" s="27"/>
      <c r="AB147" s="58"/>
    </row>
    <row r="148" spans="18:28" ht="12.75">
      <c r="R148" s="48"/>
      <c r="S148" s="46" t="s">
        <v>228</v>
      </c>
      <c r="T148" s="27"/>
      <c r="U148" s="27"/>
      <c r="V148" s="27"/>
      <c r="W148" s="27"/>
      <c r="X148" s="27"/>
      <c r="Y148" s="27"/>
      <c r="Z148" s="27"/>
      <c r="AA148" s="27"/>
      <c r="AB148" s="58"/>
    </row>
  </sheetData>
  <sheetProtection/>
  <mergeCells count="1">
    <mergeCell ref="S4:AB4"/>
  </mergeCells>
  <printOptions/>
  <pageMargins left="0.75" right="0.75" top="1" bottom="1" header="0.5" footer="0.5"/>
  <pageSetup horizontalDpi="600" verticalDpi="600" orientation="portrait" paperSize="9"/>
  <headerFooter alignWithMargins="0">
    <oddHeader>&amp;L&amp;C&amp;[TAB]&amp;R</oddHeader>
    <oddFooter>&amp;L&amp;CPage &amp;[PAGE]&amp;R</oddFooter>
  </headerFooter>
</worksheet>
</file>

<file path=xl/worksheets/sheet4.xml><?xml version="1.0" encoding="utf-8"?>
<worksheet xmlns="http://schemas.openxmlformats.org/spreadsheetml/2006/main" xmlns:r="http://schemas.openxmlformats.org/officeDocument/2006/relationships">
  <dimension ref="A1:AO134"/>
  <sheetViews>
    <sheetView zoomScaleSheetLayoutView="1" workbookViewId="0" topLeftCell="A1">
      <selection activeCell="Z30" sqref="Z30"/>
    </sheetView>
  </sheetViews>
  <sheetFormatPr defaultColWidth="9.140625" defaultRowHeight="12.75"/>
  <cols>
    <col min="1" max="1" width="2.57421875" style="1" customWidth="1"/>
    <col min="2" max="2" width="12.28125" style="1" customWidth="1"/>
    <col min="3" max="3" width="2.28125" style="1" customWidth="1"/>
    <col min="4" max="4" width="9.140625" style="1" customWidth="1"/>
    <col min="5" max="5" width="12.28125" style="1" customWidth="1"/>
    <col min="6" max="6" width="2.28125" style="1" customWidth="1"/>
    <col min="7" max="7" width="12.00390625" style="1" bestFit="1" customWidth="1"/>
    <col min="8" max="8" width="6.00390625" style="21" customWidth="1"/>
    <col min="9" max="9" width="9.140625" style="1" customWidth="1"/>
    <col min="10" max="10" width="5.421875" style="1" customWidth="1"/>
    <col min="11" max="11" width="9.140625" style="1" customWidth="1"/>
    <col min="12" max="12" width="3.57421875" style="1" customWidth="1"/>
    <col min="13" max="13" width="12.421875" style="1" bestFit="1" customWidth="1"/>
    <col min="14" max="14" width="4.00390625" style="1" customWidth="1"/>
    <col min="15" max="15" width="9.140625" style="1" customWidth="1"/>
    <col min="16" max="16" width="2.57421875" style="1" customWidth="1"/>
    <col min="17" max="17" width="3.57421875" style="1" customWidth="1"/>
    <col min="18" max="18" width="17.7109375" style="39" bestFit="1" customWidth="1"/>
    <col min="19" max="19" width="10.57421875" style="39" bestFit="1" customWidth="1"/>
    <col min="20" max="25" width="9.140625" style="39" customWidth="1"/>
    <col min="26" max="26" width="9.57421875" style="39" bestFit="1" customWidth="1"/>
    <col min="27" max="27" width="12.00390625" style="39" customWidth="1"/>
    <col min="28" max="41" width="9.140625" style="39" customWidth="1"/>
    <col min="42" max="42" width="9.140625" style="1" customWidth="1"/>
  </cols>
  <sheetData>
    <row r="1" ht="12.75">
      <c r="A1" s="3" t="s">
        <v>0</v>
      </c>
    </row>
    <row r="2" ht="12.75">
      <c r="A2" s="34"/>
    </row>
    <row r="3" spans="2:4" ht="12.75">
      <c r="B3" s="1" t="s">
        <v>93</v>
      </c>
      <c r="C3" s="75"/>
      <c r="D3" s="1" t="s">
        <v>94</v>
      </c>
    </row>
    <row r="4" spans="3:28" ht="12.75">
      <c r="C4" s="11"/>
      <c r="D4" s="1" t="s">
        <v>121</v>
      </c>
      <c r="S4" s="27" t="s">
        <v>125</v>
      </c>
      <c r="T4" s="27"/>
      <c r="U4" s="27"/>
      <c r="V4" s="27"/>
      <c r="W4" s="27"/>
      <c r="X4" s="27"/>
      <c r="Y4" s="27"/>
      <c r="Z4" s="27"/>
      <c r="AA4" s="27"/>
      <c r="AB4" s="27"/>
    </row>
    <row r="5" spans="1:27" ht="12.75">
      <c r="A5" s="34"/>
      <c r="S5" s="47"/>
      <c r="T5" s="47"/>
      <c r="U5" s="47"/>
      <c r="V5" s="47"/>
      <c r="W5" s="47"/>
      <c r="X5" s="47"/>
      <c r="Y5" s="47"/>
      <c r="Z5" s="47"/>
      <c r="AA5" s="47"/>
    </row>
    <row r="6" spans="1:28" ht="12.75">
      <c r="A6" s="8" t="s">
        <v>177</v>
      </c>
      <c r="B6" s="8"/>
      <c r="C6" s="8"/>
      <c r="D6" s="8"/>
      <c r="E6" s="8"/>
      <c r="F6" s="8"/>
      <c r="G6" s="8"/>
      <c r="H6" s="16"/>
      <c r="I6" s="8"/>
      <c r="J6" s="8"/>
      <c r="K6" s="8"/>
      <c r="L6" s="8"/>
      <c r="M6" s="8"/>
      <c r="N6" s="8"/>
      <c r="O6" s="8"/>
      <c r="P6" s="8"/>
      <c r="R6" s="48" t="s">
        <v>180</v>
      </c>
      <c r="S6" s="23" t="s">
        <v>181</v>
      </c>
      <c r="T6" s="58"/>
      <c r="U6" s="58"/>
      <c r="V6" s="58"/>
      <c r="W6" s="58"/>
      <c r="X6" s="58"/>
      <c r="Y6" s="58"/>
      <c r="Z6" s="58"/>
      <c r="AA6" s="58"/>
      <c r="AB6" s="58"/>
    </row>
    <row r="7" spans="18:28" ht="12.75">
      <c r="R7" s="48"/>
      <c r="S7" s="23" t="s">
        <v>210</v>
      </c>
      <c r="T7" s="58"/>
      <c r="U7" s="58"/>
      <c r="V7" s="58"/>
      <c r="W7" s="58"/>
      <c r="X7" s="58"/>
      <c r="Y7" s="58"/>
      <c r="Z7" s="58"/>
      <c r="AA7" s="58"/>
      <c r="AB7" s="58"/>
    </row>
    <row r="8" spans="2:28" ht="12.75">
      <c r="B8" s="1" t="s">
        <v>68</v>
      </c>
      <c r="C8" s="1" t="s">
        <v>33</v>
      </c>
      <c r="D8" s="1" t="s">
        <v>230</v>
      </c>
      <c r="F8" s="1" t="s">
        <v>33</v>
      </c>
      <c r="G8" s="31">
        <v>299792458</v>
      </c>
      <c r="H8" s="21" t="s">
        <v>232</v>
      </c>
      <c r="S8" s="58"/>
      <c r="T8" s="58"/>
      <c r="U8" s="58"/>
      <c r="V8" s="58"/>
      <c r="W8" s="58"/>
      <c r="X8" s="58"/>
      <c r="Y8" s="58"/>
      <c r="Z8" s="58"/>
      <c r="AA8" s="58"/>
      <c r="AB8" s="58"/>
    </row>
    <row r="9" spans="7:28" ht="12.75">
      <c r="G9" s="31"/>
      <c r="R9" s="48" t="s">
        <v>51</v>
      </c>
      <c r="S9" s="58" t="s">
        <v>28</v>
      </c>
      <c r="T9" s="58" t="s">
        <v>23</v>
      </c>
      <c r="U9" s="58">
        <f>-$G$42/2-$G$32</f>
        <v>-8.498583349999622</v>
      </c>
      <c r="V9" s="37">
        <f>$G$22+$G$30</f>
        <v>0.66</v>
      </c>
      <c r="W9" s="58" t="s">
        <v>22</v>
      </c>
      <c r="X9" s="58" t="s">
        <v>23</v>
      </c>
      <c r="Y9" s="58">
        <f>$G$42/2+$G$32</f>
        <v>8.498583349999622</v>
      </c>
      <c r="Z9" s="19">
        <f>V9+$G$41</f>
        <v>3.093963634731622</v>
      </c>
      <c r="AA9" s="58" t="s">
        <v>24</v>
      </c>
      <c r="AB9" s="58"/>
    </row>
    <row r="10" spans="1:28" ht="12.75">
      <c r="A10" s="8" t="s">
        <v>82</v>
      </c>
      <c r="B10" s="8"/>
      <c r="C10" s="8"/>
      <c r="D10" s="8"/>
      <c r="E10" s="8"/>
      <c r="F10" s="8"/>
      <c r="G10" s="8"/>
      <c r="H10" s="16"/>
      <c r="I10" s="8"/>
      <c r="J10" s="8"/>
      <c r="K10" s="8"/>
      <c r="L10" s="8"/>
      <c r="M10" s="8"/>
      <c r="N10" s="8"/>
      <c r="O10" s="8"/>
      <c r="P10" s="8"/>
      <c r="S10" s="58"/>
      <c r="T10" s="58"/>
      <c r="U10" s="58"/>
      <c r="V10" s="58"/>
      <c r="W10" s="58"/>
      <c r="X10" s="58"/>
      <c r="Y10" s="58"/>
      <c r="Z10" s="58"/>
      <c r="AA10" s="58"/>
      <c r="AB10" s="58"/>
    </row>
    <row r="11" spans="18:28" ht="12.75">
      <c r="R11" s="48" t="s">
        <v>116</v>
      </c>
      <c r="S11" s="58" t="s">
        <v>28</v>
      </c>
      <c r="T11" s="58" t="s">
        <v>23</v>
      </c>
      <c r="U11" s="58">
        <f>-3*$G$42/16-$G$50/2</f>
        <v>-3.2115433155353186</v>
      </c>
      <c r="V11" s="19">
        <f>$Z$9</f>
        <v>3.093963634731622</v>
      </c>
      <c r="W11" s="58" t="s">
        <v>22</v>
      </c>
      <c r="X11" s="58" t="s">
        <v>23</v>
      </c>
      <c r="Y11" s="58">
        <f>-3*$G$42/16+$G$50/2</f>
        <v>-3.154894196964398</v>
      </c>
      <c r="Z11" s="58">
        <f>$Z$9+$G$22+0.5*MAX($G$49,$G$50)</f>
        <v>3.4862202009602803</v>
      </c>
      <c r="AA11" s="58" t="s">
        <v>24</v>
      </c>
      <c r="AB11" s="58"/>
    </row>
    <row r="12" spans="2:28" ht="12.75">
      <c r="B12" s="40" t="s">
        <v>143</v>
      </c>
      <c r="C12" s="40" t="s">
        <v>33</v>
      </c>
      <c r="D12" s="40" t="s">
        <v>144</v>
      </c>
      <c r="E12" s="40"/>
      <c r="F12" s="40" t="s">
        <v>33</v>
      </c>
      <c r="G12" s="76">
        <v>2.20066</v>
      </c>
      <c r="H12" s="56"/>
      <c r="I12" s="40"/>
      <c r="J12" s="40"/>
      <c r="K12" s="40"/>
      <c r="L12" s="40"/>
      <c r="M12" s="40"/>
      <c r="N12" s="40"/>
      <c r="O12" s="40"/>
      <c r="P12" s="40"/>
      <c r="R12" s="48"/>
      <c r="S12" s="58" t="s">
        <v>28</v>
      </c>
      <c r="T12" s="58" t="s">
        <v>23</v>
      </c>
      <c r="U12" s="58">
        <f>-1*$G$42/16-$G$50/2</f>
        <v>-1.089397478035413</v>
      </c>
      <c r="V12" s="19">
        <f>$Z$9</f>
        <v>3.093963634731622</v>
      </c>
      <c r="W12" s="58" t="s">
        <v>22</v>
      </c>
      <c r="X12" s="58" t="s">
        <v>23</v>
      </c>
      <c r="Y12" s="58">
        <f>-1*$G$42/16+$G$50/2</f>
        <v>-1.0327483594644926</v>
      </c>
      <c r="Z12" s="58">
        <f>$Z$9+$G$22+0.5*MAX($G$49,$G$50)</f>
        <v>3.4862202009602803</v>
      </c>
      <c r="AA12" s="58" t="s">
        <v>24</v>
      </c>
      <c r="AB12" s="58"/>
    </row>
    <row r="13" spans="2:28" ht="12.75">
      <c r="B13" s="40" t="s">
        <v>170</v>
      </c>
      <c r="C13" s="40" t="s">
        <v>33</v>
      </c>
      <c r="D13" s="40" t="s">
        <v>171</v>
      </c>
      <c r="E13" s="40"/>
      <c r="F13" s="40" t="s">
        <v>33</v>
      </c>
      <c r="G13" s="82">
        <v>1575420000</v>
      </c>
      <c r="H13" s="56" t="s">
        <v>172</v>
      </c>
      <c r="I13" s="40"/>
      <c r="J13" s="40"/>
      <c r="K13" s="40"/>
      <c r="L13" s="40"/>
      <c r="M13" s="40"/>
      <c r="N13" s="40"/>
      <c r="O13" s="40"/>
      <c r="P13" s="40"/>
      <c r="R13" s="48"/>
      <c r="S13" s="58" t="s">
        <v>28</v>
      </c>
      <c r="T13" s="58" t="s">
        <v>23</v>
      </c>
      <c r="U13" s="58">
        <f>1*$G$42/16-$G$50/2</f>
        <v>1.0327483594644926</v>
      </c>
      <c r="V13" s="19">
        <f>$Z$9</f>
        <v>3.093963634731622</v>
      </c>
      <c r="W13" s="58" t="s">
        <v>22</v>
      </c>
      <c r="X13" s="58" t="s">
        <v>23</v>
      </c>
      <c r="Y13" s="58">
        <f>1*$G$42/16+$G$50/2</f>
        <v>1.089397478035413</v>
      </c>
      <c r="Z13" s="58">
        <f>$Z$9+$G$22+0.5*MAX($G$49,$G$50)</f>
        <v>3.4862202009602803</v>
      </c>
      <c r="AA13" s="58" t="s">
        <v>24</v>
      </c>
      <c r="AB13" s="58"/>
    </row>
    <row r="14" spans="2:28" ht="12.75">
      <c r="B14" s="40" t="s">
        <v>199</v>
      </c>
      <c r="C14" s="40" t="s">
        <v>33</v>
      </c>
      <c r="D14" s="40" t="s">
        <v>200</v>
      </c>
      <c r="E14" s="40"/>
      <c r="F14" s="40" t="s">
        <v>33</v>
      </c>
      <c r="G14" s="76"/>
      <c r="H14" s="56" t="s">
        <v>99</v>
      </c>
      <c r="I14" s="40" t="s">
        <v>202</v>
      </c>
      <c r="J14" s="40"/>
      <c r="K14" s="40"/>
      <c r="L14" s="40"/>
      <c r="M14" s="40"/>
      <c r="N14" s="40"/>
      <c r="O14" s="40"/>
      <c r="P14" s="40"/>
      <c r="R14" s="48"/>
      <c r="S14" s="58" t="s">
        <v>28</v>
      </c>
      <c r="T14" s="58" t="s">
        <v>23</v>
      </c>
      <c r="U14" s="58">
        <f>3*$G$42/16-$G$50/2</f>
        <v>3.154894196964398</v>
      </c>
      <c r="V14" s="19">
        <f>$Z$9</f>
        <v>3.093963634731622</v>
      </c>
      <c r="W14" s="58" t="s">
        <v>22</v>
      </c>
      <c r="X14" s="58" t="s">
        <v>23</v>
      </c>
      <c r="Y14" s="58">
        <f>3*$G$42/16+$G$50/2</f>
        <v>3.2115433155353186</v>
      </c>
      <c r="Z14" s="58">
        <f>$Z$9+$G$22+0.5*MAX($G$49,$G$50)</f>
        <v>3.4862202009602803</v>
      </c>
      <c r="AA14" s="58" t="s">
        <v>24</v>
      </c>
      <c r="AB14" s="58"/>
    </row>
    <row r="15" spans="2:28" ht="12.75">
      <c r="B15" s="40"/>
      <c r="C15" s="40"/>
      <c r="D15" s="40"/>
      <c r="E15" s="40"/>
      <c r="F15" s="40"/>
      <c r="G15" s="25"/>
      <c r="H15" s="56"/>
      <c r="I15" s="40"/>
      <c r="J15" s="40"/>
      <c r="K15" s="40"/>
      <c r="L15" s="40"/>
      <c r="M15" s="40"/>
      <c r="N15" s="40"/>
      <c r="O15" s="40"/>
      <c r="P15" s="40"/>
      <c r="R15" s="48"/>
      <c r="S15" s="58"/>
      <c r="T15" s="58"/>
      <c r="U15" s="58"/>
      <c r="V15" s="58"/>
      <c r="W15" s="58"/>
      <c r="X15" s="58"/>
      <c r="Y15" s="58"/>
      <c r="Z15" s="58"/>
      <c r="AA15" s="58"/>
      <c r="AB15" s="58"/>
    </row>
    <row r="16" spans="2:28" ht="12" customHeight="1">
      <c r="B16" s="40" t="s">
        <v>40</v>
      </c>
      <c r="C16" s="40" t="s">
        <v>33</v>
      </c>
      <c r="D16" s="40" t="s">
        <v>41</v>
      </c>
      <c r="E16" s="40"/>
      <c r="F16" s="40" t="s">
        <v>33</v>
      </c>
      <c r="G16" s="20">
        <f>IF(ISBLANK(I16),IF(ISBLANK(K16),IF(ISBLANK(M16),IF(ISBLANK(O16),"NO VALUE!",O16*0.0254),M16/1000),K16/100),I16)</f>
        <v>0.13335</v>
      </c>
      <c r="H16" s="56" t="s">
        <v>35</v>
      </c>
      <c r="I16" s="80"/>
      <c r="J16" s="40" t="s">
        <v>35</v>
      </c>
      <c r="K16" s="80"/>
      <c r="L16" s="40" t="s">
        <v>43</v>
      </c>
      <c r="M16" s="80"/>
      <c r="N16" s="40" t="s">
        <v>44</v>
      </c>
      <c r="O16" s="74">
        <v>5.25</v>
      </c>
      <c r="P16" s="40" t="s">
        <v>45</v>
      </c>
      <c r="R16" s="48" t="s">
        <v>244</v>
      </c>
      <c r="S16" s="58" t="s">
        <v>28</v>
      </c>
      <c r="T16" s="58" t="s">
        <v>23</v>
      </c>
      <c r="U16" s="58">
        <f>Y11</f>
        <v>-3.154894196964398</v>
      </c>
      <c r="V16" s="19">
        <f>Z11</f>
        <v>3.4862202009602803</v>
      </c>
      <c r="W16" s="58" t="s">
        <v>22</v>
      </c>
      <c r="X16" s="58" t="s">
        <v>23</v>
      </c>
      <c r="Y16" s="58">
        <f>U16+(0.5*G42/4-G58)/2</f>
        <v>-2.8009491672162055</v>
      </c>
      <c r="Z16" s="19">
        <f>V16+G50</f>
        <v>3.5428693195312007</v>
      </c>
      <c r="AA16" s="58" t="s">
        <v>24</v>
      </c>
      <c r="AB16" s="58"/>
    </row>
    <row r="17" spans="2:28" ht="12.75">
      <c r="B17" s="40" t="s">
        <v>76</v>
      </c>
      <c r="C17" s="40" t="s">
        <v>33</v>
      </c>
      <c r="D17" s="40" t="s">
        <v>77</v>
      </c>
      <c r="E17" s="40"/>
      <c r="F17" s="40" t="s">
        <v>33</v>
      </c>
      <c r="G17" s="20">
        <f>IF(ISBLANK(I17),IF(ISBLANK(K17),IF(ISBLANK(M17),IF(ISBLANK(O17),"NO VALUE!",O17*0.0254),M17/1000),K17/100),I17)</f>
        <v>0.000127</v>
      </c>
      <c r="H17" s="56" t="s">
        <v>35</v>
      </c>
      <c r="I17" s="78"/>
      <c r="J17" s="40" t="s">
        <v>35</v>
      </c>
      <c r="K17" s="78"/>
      <c r="L17" s="40" t="s">
        <v>43</v>
      </c>
      <c r="M17" s="78"/>
      <c r="N17" s="40" t="s">
        <v>44</v>
      </c>
      <c r="O17" s="72">
        <v>0.005</v>
      </c>
      <c r="P17" s="40" t="s">
        <v>45</v>
      </c>
      <c r="R17" s="48"/>
      <c r="S17" s="58" t="s">
        <v>28</v>
      </c>
      <c r="T17" s="58" t="s">
        <v>23</v>
      </c>
      <c r="U17" s="58">
        <f>U12</f>
        <v>-1.089397478035413</v>
      </c>
      <c r="V17" s="19">
        <f>Z12</f>
        <v>3.4862202009602803</v>
      </c>
      <c r="W17" s="58" t="s">
        <v>22</v>
      </c>
      <c r="X17" s="58" t="s">
        <v>23</v>
      </c>
      <c r="Y17" s="58">
        <f>U17-(0.5*G42/4-G58)/2</f>
        <v>-1.4433425077836055</v>
      </c>
      <c r="Z17" s="19">
        <f>V17+G50</f>
        <v>3.5428693195312007</v>
      </c>
      <c r="AA17" s="58" t="s">
        <v>24</v>
      </c>
      <c r="AB17" s="58"/>
    </row>
    <row r="18" spans="2:28" ht="12.75">
      <c r="B18" s="40" t="s">
        <v>102</v>
      </c>
      <c r="C18" s="40" t="s">
        <v>33</v>
      </c>
      <c r="D18" s="40" t="s">
        <v>103</v>
      </c>
      <c r="E18" s="40"/>
      <c r="F18" s="40" t="s">
        <v>33</v>
      </c>
      <c r="G18" s="20">
        <f>IF(ISBLANK(I18),IF(ISBLANK(K18),IF(ISBLANK(M18),IF(ISBLANK(O18),"NO VALUE!",O18*0.0254),M18/1000),K18/100),I18)</f>
        <v>0.0018287999999999998</v>
      </c>
      <c r="H18" s="56" t="s">
        <v>35</v>
      </c>
      <c r="I18" s="78"/>
      <c r="J18" s="40" t="s">
        <v>35</v>
      </c>
      <c r="K18" s="78"/>
      <c r="L18" s="40" t="s">
        <v>43</v>
      </c>
      <c r="M18" s="78"/>
      <c r="N18" s="40" t="s">
        <v>44</v>
      </c>
      <c r="O18" s="78">
        <v>0.072</v>
      </c>
      <c r="P18" s="40" t="s">
        <v>45</v>
      </c>
      <c r="R18" s="48"/>
      <c r="S18" s="58" t="s">
        <v>28</v>
      </c>
      <c r="T18" s="58" t="s">
        <v>23</v>
      </c>
      <c r="U18" s="58">
        <f>Y13</f>
        <v>1.089397478035413</v>
      </c>
      <c r="V18" s="19">
        <f>Z13</f>
        <v>3.4862202009602803</v>
      </c>
      <c r="W18" s="58" t="s">
        <v>22</v>
      </c>
      <c r="X18" s="58" t="s">
        <v>23</v>
      </c>
      <c r="Y18" s="58">
        <f>U18+(0.5*G42/4-G58)/2</f>
        <v>1.4433425077836055</v>
      </c>
      <c r="Z18" s="19">
        <f>V18+G50</f>
        <v>3.5428693195312007</v>
      </c>
      <c r="AA18" s="58" t="s">
        <v>24</v>
      </c>
      <c r="AB18" s="58"/>
    </row>
    <row r="19" spans="2:28" ht="12.75">
      <c r="B19" s="40" t="s">
        <v>136</v>
      </c>
      <c r="C19" s="40"/>
      <c r="D19" s="40" t="s">
        <v>137</v>
      </c>
      <c r="E19" s="40"/>
      <c r="F19" s="40" t="s">
        <v>33</v>
      </c>
      <c r="G19" s="20">
        <f>IF(ISBLANK(I19),IF(ISBLANK(K19),IF(ISBLANK(M19),IF(ISBLANK(O19),"NO VALUE!",O19*0.0254),M19/1000),K19/100),I19)</f>
        <v>1.7525999999999998E-05</v>
      </c>
      <c r="H19" s="56" t="s">
        <v>35</v>
      </c>
      <c r="I19" s="78"/>
      <c r="J19" s="40" t="s">
        <v>35</v>
      </c>
      <c r="K19" s="78"/>
      <c r="L19" s="40" t="s">
        <v>43</v>
      </c>
      <c r="M19" s="78"/>
      <c r="N19" s="40" t="s">
        <v>44</v>
      </c>
      <c r="O19" s="72">
        <v>0.00069</v>
      </c>
      <c r="P19" s="40" t="s">
        <v>45</v>
      </c>
      <c r="R19" s="48"/>
      <c r="S19" s="58" t="s">
        <v>28</v>
      </c>
      <c r="T19" s="58" t="s">
        <v>23</v>
      </c>
      <c r="U19" s="58">
        <f>U14</f>
        <v>3.154894196964398</v>
      </c>
      <c r="V19" s="19">
        <f>Z14</f>
        <v>3.4862202009602803</v>
      </c>
      <c r="W19" s="58" t="s">
        <v>22</v>
      </c>
      <c r="X19" s="58" t="s">
        <v>23</v>
      </c>
      <c r="Y19" s="58">
        <f>U19-(0.5*G42/4-G58)/2</f>
        <v>2.8009491672162055</v>
      </c>
      <c r="Z19" s="19">
        <f>V19+G50</f>
        <v>3.5428693195312007</v>
      </c>
      <c r="AA19" s="58" t="s">
        <v>24</v>
      </c>
      <c r="AB19" s="58"/>
    </row>
    <row r="20" spans="2:28" ht="12.75">
      <c r="B20" s="40" t="s">
        <v>162</v>
      </c>
      <c r="C20" s="40" t="s">
        <v>33</v>
      </c>
      <c r="D20" s="40" t="s">
        <v>163</v>
      </c>
      <c r="E20" s="40"/>
      <c r="F20" s="40" t="s">
        <v>33</v>
      </c>
      <c r="G20" s="13">
        <f>IF(ISBLANK(I20),IF(ISBLANK(K20),IF(ISBLANK(M20),IF(ISBLANK(O20),"NO VALUE!",O20*0.0254),M20/1000),K20/100),I20)</f>
        <v>0.000127</v>
      </c>
      <c r="H20" s="56" t="s">
        <v>35</v>
      </c>
      <c r="I20" s="84"/>
      <c r="J20" s="40" t="s">
        <v>35</v>
      </c>
      <c r="K20" s="84"/>
      <c r="L20" s="40" t="s">
        <v>43</v>
      </c>
      <c r="M20" s="84"/>
      <c r="N20" s="40" t="s">
        <v>44</v>
      </c>
      <c r="O20" s="73">
        <v>0.005</v>
      </c>
      <c r="P20" s="40" t="s">
        <v>45</v>
      </c>
      <c r="R20" s="48"/>
      <c r="S20" s="58"/>
      <c r="T20" s="58"/>
      <c r="U20" s="58"/>
      <c r="V20" s="58"/>
      <c r="W20" s="58"/>
      <c r="X20" s="58"/>
      <c r="Y20" s="58"/>
      <c r="Z20" s="58"/>
      <c r="AA20" s="58"/>
      <c r="AB20" s="58"/>
    </row>
    <row r="21" spans="2:28" ht="12.75">
      <c r="B21" s="40"/>
      <c r="C21" s="40"/>
      <c r="D21" s="40"/>
      <c r="E21" s="40"/>
      <c r="F21" s="40"/>
      <c r="G21" s="20"/>
      <c r="H21" s="56"/>
      <c r="I21" s="40"/>
      <c r="J21" s="40"/>
      <c r="K21" s="40"/>
      <c r="L21" s="40"/>
      <c r="M21" s="40"/>
      <c r="N21" s="40"/>
      <c r="O21" s="45"/>
      <c r="P21" s="40"/>
      <c r="R21" s="48" t="s">
        <v>239</v>
      </c>
      <c r="S21" s="58" t="s">
        <v>28</v>
      </c>
      <c r="T21" s="58" t="s">
        <v>23</v>
      </c>
      <c r="U21" s="58">
        <f>Y16</f>
        <v>-2.8009491672162055</v>
      </c>
      <c r="V21" s="58">
        <f>V16+(Z16-V16)/2-$G$57/2</f>
        <v>3.4842950355887288</v>
      </c>
      <c r="W21" s="58" t="s">
        <v>22</v>
      </c>
      <c r="X21" s="58" t="s">
        <v>23</v>
      </c>
      <c r="Y21" s="19">
        <f>U21+$G$58</f>
        <v>-1.386693389212685</v>
      </c>
      <c r="Z21" s="58">
        <f>V16+(Z16-V16)/2+$G$57/2</f>
        <v>3.544794484902752</v>
      </c>
      <c r="AA21" s="58" t="s">
        <v>24</v>
      </c>
      <c r="AB21" s="58"/>
    </row>
    <row r="22" spans="2:28" ht="12.75">
      <c r="B22" s="40" t="s">
        <v>220</v>
      </c>
      <c r="C22" s="40" t="s">
        <v>33</v>
      </c>
      <c r="D22" s="40" t="s">
        <v>221</v>
      </c>
      <c r="E22" s="40"/>
      <c r="F22" s="40" t="s">
        <v>33</v>
      </c>
      <c r="G22" s="20">
        <f>IF(ISBLANK(I22),IF(ISBLANK(K22),IF(ISBLANK(M22),IF(ISBLANK(O22),"NO VALUE!",O22),M22*25.4),K22*2.54),I22*G18/0.0254)</f>
        <v>0.36</v>
      </c>
      <c r="H22" s="56" t="s">
        <v>45</v>
      </c>
      <c r="I22" s="76">
        <v>5</v>
      </c>
      <c r="J22" s="40" t="s">
        <v>223</v>
      </c>
      <c r="K22" s="76"/>
      <c r="L22" s="40" t="s">
        <v>43</v>
      </c>
      <c r="M22" s="76"/>
      <c r="N22" s="40" t="s">
        <v>44</v>
      </c>
      <c r="O22" s="85"/>
      <c r="P22" s="40" t="s">
        <v>45</v>
      </c>
      <c r="R22" s="48"/>
      <c r="S22" s="58" t="s">
        <v>28</v>
      </c>
      <c r="T22" s="58" t="s">
        <v>23</v>
      </c>
      <c r="U22" s="19">
        <f>Y22-$G$58</f>
        <v>-2.857598285787126</v>
      </c>
      <c r="V22" s="58">
        <f>V17+(Z17-V17)/2-$G$57/2</f>
        <v>3.4842950355887288</v>
      </c>
      <c r="W22" s="58" t="s">
        <v>22</v>
      </c>
      <c r="X22" s="58" t="s">
        <v>23</v>
      </c>
      <c r="Y22" s="58">
        <f>Y17</f>
        <v>-1.4433425077836055</v>
      </c>
      <c r="Z22" s="58">
        <f>V17+(Z17-V17)/2+$G$57/2</f>
        <v>3.544794484902752</v>
      </c>
      <c r="AA22" s="58" t="s">
        <v>24</v>
      </c>
      <c r="AB22" s="58"/>
    </row>
    <row r="23" spans="2:28" ht="12.75">
      <c r="B23" s="40"/>
      <c r="C23" s="40"/>
      <c r="D23" s="40"/>
      <c r="E23" s="40"/>
      <c r="F23" s="40"/>
      <c r="G23" s="20"/>
      <c r="H23" s="56"/>
      <c r="I23" s="40"/>
      <c r="J23" s="40"/>
      <c r="K23" s="40"/>
      <c r="L23" s="40"/>
      <c r="M23" s="40"/>
      <c r="N23" s="40"/>
      <c r="O23" s="45"/>
      <c r="P23" s="40"/>
      <c r="R23" s="48"/>
      <c r="S23" s="58" t="s">
        <v>28</v>
      </c>
      <c r="T23" s="58" t="s">
        <v>23</v>
      </c>
      <c r="U23" s="58">
        <f>Y18</f>
        <v>1.4433425077836055</v>
      </c>
      <c r="V23" s="58">
        <f>V18+(Z18-V18)/2-$G$57/2</f>
        <v>3.4842950355887288</v>
      </c>
      <c r="W23" s="58" t="s">
        <v>22</v>
      </c>
      <c r="X23" s="58" t="s">
        <v>23</v>
      </c>
      <c r="Y23" s="19">
        <f>U23+$G$58</f>
        <v>2.857598285787126</v>
      </c>
      <c r="Z23" s="58">
        <f>V18+(Z18-V18)/2+$G$57/2</f>
        <v>3.544794484902752</v>
      </c>
      <c r="AA23" s="58" t="s">
        <v>24</v>
      </c>
      <c r="AB23" s="58"/>
    </row>
    <row r="24" spans="2:28" ht="12.75">
      <c r="B24" s="40" t="s">
        <v>69</v>
      </c>
      <c r="C24" s="40" t="s">
        <v>33</v>
      </c>
      <c r="D24" s="40" t="s">
        <v>70</v>
      </c>
      <c r="E24" s="40"/>
      <c r="F24" s="40" t="s">
        <v>33</v>
      </c>
      <c r="G24" s="79">
        <v>0.05</v>
      </c>
      <c r="H24" s="56" t="s">
        <v>58</v>
      </c>
      <c r="I24" s="40" t="s">
        <v>72</v>
      </c>
      <c r="J24" s="40"/>
      <c r="K24" s="40"/>
      <c r="L24" s="40"/>
      <c r="M24" s="40"/>
      <c r="N24" s="40"/>
      <c r="O24" s="45"/>
      <c r="P24" s="40"/>
      <c r="R24" s="48"/>
      <c r="S24" s="58" t="s">
        <v>28</v>
      </c>
      <c r="T24" s="58" t="s">
        <v>23</v>
      </c>
      <c r="U24" s="19">
        <f>Y24-$G$58</f>
        <v>1.386693389212685</v>
      </c>
      <c r="V24" s="58">
        <f>V19+(Z19-V19)/2-$G$57/2</f>
        <v>3.4842950355887288</v>
      </c>
      <c r="W24" s="58" t="s">
        <v>22</v>
      </c>
      <c r="X24" s="58" t="s">
        <v>23</v>
      </c>
      <c r="Y24" s="58">
        <f>Y19</f>
        <v>2.8009491672162055</v>
      </c>
      <c r="Z24" s="58">
        <f>V19+(Z19-V19)/2+$G$57/2</f>
        <v>3.544794484902752</v>
      </c>
      <c r="AA24" s="58" t="s">
        <v>24</v>
      </c>
      <c r="AB24" s="58"/>
    </row>
    <row r="25" spans="2:28" ht="12.75">
      <c r="B25" s="40"/>
      <c r="C25" s="40"/>
      <c r="D25" s="40"/>
      <c r="E25" s="40"/>
      <c r="F25" s="40"/>
      <c r="G25" s="77"/>
      <c r="H25" s="56"/>
      <c r="I25" s="40"/>
      <c r="J25" s="40"/>
      <c r="K25" s="40"/>
      <c r="L25" s="40"/>
      <c r="M25" s="40"/>
      <c r="N25" s="40"/>
      <c r="O25" s="45"/>
      <c r="P25" s="40"/>
      <c r="R25" s="48"/>
      <c r="S25" s="58"/>
      <c r="T25" s="58"/>
      <c r="U25" s="58"/>
      <c r="V25" s="58"/>
      <c r="W25" s="58"/>
      <c r="X25" s="58"/>
      <c r="Y25" s="58"/>
      <c r="Z25" s="58"/>
      <c r="AA25" s="58"/>
      <c r="AB25" s="58"/>
    </row>
    <row r="26" spans="2:28" ht="12.75">
      <c r="B26" s="40" t="s">
        <v>130</v>
      </c>
      <c r="C26" s="40" t="s">
        <v>33</v>
      </c>
      <c r="D26" s="40" t="s">
        <v>131</v>
      </c>
      <c r="E26" s="40"/>
      <c r="F26" s="40" t="s">
        <v>33</v>
      </c>
      <c r="G26" s="79">
        <v>0.2</v>
      </c>
      <c r="H26" s="56" t="s">
        <v>58</v>
      </c>
      <c r="I26" s="40" t="s">
        <v>133</v>
      </c>
      <c r="J26" s="40"/>
      <c r="K26" s="40"/>
      <c r="L26" s="40"/>
      <c r="M26" s="40"/>
      <c r="N26" s="40"/>
      <c r="O26" s="45"/>
      <c r="P26" s="40"/>
      <c r="R26" s="48" t="s">
        <v>46</v>
      </c>
      <c r="S26" s="58" t="s">
        <v>28</v>
      </c>
      <c r="T26" s="58" t="s">
        <v>23</v>
      </c>
      <c r="U26" s="19">
        <f>Y21</f>
        <v>-1.386693389212685</v>
      </c>
      <c r="V26" s="58">
        <f>V16+(Z16-V16)/2-$G$49/2</f>
        <v>3.482288194017082</v>
      </c>
      <c r="W26" s="58" t="s">
        <v>22</v>
      </c>
      <c r="X26" s="58" t="s">
        <v>23</v>
      </c>
      <c r="Y26" s="19">
        <f>U22</f>
        <v>-2.857598285787126</v>
      </c>
      <c r="Z26" s="58">
        <f>V16+(Z16-V16)/2+$G$49/2</f>
        <v>3.546801326474399</v>
      </c>
      <c r="AA26" s="58" t="s">
        <v>24</v>
      </c>
      <c r="AB26" s="58"/>
    </row>
    <row r="27" spans="2:28" ht="12.75">
      <c r="B27" s="40" t="s">
        <v>155</v>
      </c>
      <c r="C27" s="40" t="s">
        <v>33</v>
      </c>
      <c r="D27" s="40" t="s">
        <v>156</v>
      </c>
      <c r="E27" s="40"/>
      <c r="F27" s="40" t="s">
        <v>33</v>
      </c>
      <c r="G27" s="79">
        <v>0.089</v>
      </c>
      <c r="H27" s="56" t="s">
        <v>58</v>
      </c>
      <c r="I27" s="40" t="s">
        <v>157</v>
      </c>
      <c r="J27" s="40"/>
      <c r="K27" s="40"/>
      <c r="L27" s="40"/>
      <c r="M27" s="40"/>
      <c r="N27" s="40"/>
      <c r="O27" s="45"/>
      <c r="P27" s="40"/>
      <c r="R27" s="48"/>
      <c r="S27" s="58" t="s">
        <v>28</v>
      </c>
      <c r="T27" s="58" t="s">
        <v>23</v>
      </c>
      <c r="U27" s="19">
        <f>Y23</f>
        <v>2.857598285787126</v>
      </c>
      <c r="V27" s="58">
        <f>V17+(Z17-V17)/2-$G$49/2</f>
        <v>3.482288194017082</v>
      </c>
      <c r="W27" s="58" t="s">
        <v>22</v>
      </c>
      <c r="X27" s="58" t="s">
        <v>23</v>
      </c>
      <c r="Y27" s="19">
        <f>U24</f>
        <v>1.386693389212685</v>
      </c>
      <c r="Z27" s="58">
        <f>V17+(Z17-V17)/2+$G$49/2</f>
        <v>3.546801326474399</v>
      </c>
      <c r="AA27" s="58" t="s">
        <v>24</v>
      </c>
      <c r="AB27" s="58"/>
    </row>
    <row r="28" spans="2:28" ht="12.75">
      <c r="B28" s="40" t="s">
        <v>185</v>
      </c>
      <c r="C28" s="40" t="s">
        <v>33</v>
      </c>
      <c r="D28" s="40" t="s">
        <v>186</v>
      </c>
      <c r="E28" s="40"/>
      <c r="F28" s="40" t="s">
        <v>33</v>
      </c>
      <c r="G28" s="79">
        <f>G26/2</f>
        <v>0.1</v>
      </c>
      <c r="H28" s="56" t="s">
        <v>58</v>
      </c>
      <c r="I28" s="40"/>
      <c r="J28" s="40"/>
      <c r="K28" s="40"/>
      <c r="L28" s="40"/>
      <c r="M28" s="40"/>
      <c r="N28" s="40"/>
      <c r="O28" s="45"/>
      <c r="P28" s="40"/>
      <c r="S28" s="58"/>
      <c r="T28" s="58"/>
      <c r="U28" s="58"/>
      <c r="V28" s="58"/>
      <c r="W28" s="58"/>
      <c r="X28" s="58"/>
      <c r="Y28" s="58"/>
      <c r="Z28" s="58"/>
      <c r="AA28" s="58"/>
      <c r="AB28" s="58"/>
    </row>
    <row r="29" spans="2:28" ht="12.75">
      <c r="B29" s="40"/>
      <c r="C29" s="40"/>
      <c r="D29" s="40"/>
      <c r="E29" s="40"/>
      <c r="F29" s="40"/>
      <c r="G29" s="20"/>
      <c r="H29" s="56"/>
      <c r="I29" s="40"/>
      <c r="J29" s="40"/>
      <c r="K29" s="40"/>
      <c r="L29" s="40"/>
      <c r="M29" s="40"/>
      <c r="N29" s="40"/>
      <c r="O29" s="45"/>
      <c r="P29" s="40"/>
      <c r="R29" s="48" t="s">
        <v>238</v>
      </c>
      <c r="S29" s="58" t="s">
        <v>28</v>
      </c>
      <c r="T29" s="58" t="s">
        <v>23</v>
      </c>
      <c r="U29" s="19">
        <f>-$G$42/4-$G$48/2</f>
        <v>-4.355192801990232</v>
      </c>
      <c r="V29" s="58">
        <f>Z26</f>
        <v>3.546801326474399</v>
      </c>
      <c r="W29" s="58" t="s">
        <v>22</v>
      </c>
      <c r="X29" s="58" t="s">
        <v>23</v>
      </c>
      <c r="Y29" s="19">
        <f>-$G$42/4+$G$48/2</f>
        <v>-4.13339054800939</v>
      </c>
      <c r="Z29" s="58">
        <f>Z17+5*$O$18</f>
        <v>3.9028693195312005</v>
      </c>
      <c r="AA29" s="58" t="s">
        <v>24</v>
      </c>
      <c r="AB29" s="58"/>
    </row>
    <row r="30" spans="2:28" ht="12.75">
      <c r="B30" s="40" t="s">
        <v>235</v>
      </c>
      <c r="C30" s="40" t="s">
        <v>33</v>
      </c>
      <c r="D30" s="40" t="s">
        <v>236</v>
      </c>
      <c r="E30" s="40"/>
      <c r="F30" s="40" t="s">
        <v>33</v>
      </c>
      <c r="G30" s="79">
        <f>G28+G26</f>
        <v>0.30000000000000004</v>
      </c>
      <c r="H30" s="56" t="s">
        <v>58</v>
      </c>
      <c r="I30" s="40" t="s">
        <v>237</v>
      </c>
      <c r="J30" s="40"/>
      <c r="K30" s="40"/>
      <c r="L30" s="40"/>
      <c r="M30" s="40"/>
      <c r="N30" s="40"/>
      <c r="O30" s="45"/>
      <c r="P30" s="40"/>
      <c r="R30" s="48"/>
      <c r="S30" s="58" t="s">
        <v>28</v>
      </c>
      <c r="T30" s="58" t="s">
        <v>23</v>
      </c>
      <c r="U30" s="19">
        <f>$G$42/4-$G$48/2</f>
        <v>4.13339054800939</v>
      </c>
      <c r="V30" s="58">
        <f>Z27</f>
        <v>3.546801326474399</v>
      </c>
      <c r="W30" s="58" t="s">
        <v>22</v>
      </c>
      <c r="X30" s="58" t="s">
        <v>23</v>
      </c>
      <c r="Y30" s="19">
        <f>$G$42/4+$G$48/2</f>
        <v>4.355192801990232</v>
      </c>
      <c r="Z30" s="58">
        <f>Z18+5*$O$18</f>
        <v>3.9028693195312005</v>
      </c>
      <c r="AA30" s="58" t="s">
        <v>24</v>
      </c>
      <c r="AB30" s="58"/>
    </row>
    <row r="31" spans="2:28" ht="12.75">
      <c r="B31" s="40" t="s">
        <v>55</v>
      </c>
      <c r="C31" s="40" t="s">
        <v>33</v>
      </c>
      <c r="D31" s="40" t="s">
        <v>56</v>
      </c>
      <c r="E31" s="40"/>
      <c r="F31" s="40" t="s">
        <v>33</v>
      </c>
      <c r="G31" s="79">
        <f>G28+G26</f>
        <v>0.30000000000000004</v>
      </c>
      <c r="H31" s="56" t="s">
        <v>58</v>
      </c>
      <c r="I31" s="40" t="s">
        <v>59</v>
      </c>
      <c r="J31" s="40"/>
      <c r="K31" s="40"/>
      <c r="L31" s="40"/>
      <c r="M31" s="40"/>
      <c r="N31" s="40"/>
      <c r="O31" s="45"/>
      <c r="P31" s="40"/>
      <c r="R31" s="48"/>
      <c r="S31" s="58"/>
      <c r="T31" s="58"/>
      <c r="U31" s="58"/>
      <c r="V31" s="58"/>
      <c r="W31" s="58"/>
      <c r="X31" s="58"/>
      <c r="Y31" s="58"/>
      <c r="Z31" s="58"/>
      <c r="AA31" s="58"/>
      <c r="AB31" s="58"/>
    </row>
    <row r="32" spans="2:28" ht="12.75">
      <c r="B32" s="40" t="s">
        <v>86</v>
      </c>
      <c r="C32" s="40" t="s">
        <v>33</v>
      </c>
      <c r="D32" s="40" t="s">
        <v>87</v>
      </c>
      <c r="E32" s="40"/>
      <c r="F32" s="40" t="s">
        <v>33</v>
      </c>
      <c r="G32" s="79">
        <v>0.01</v>
      </c>
      <c r="H32" s="56" t="s">
        <v>58</v>
      </c>
      <c r="I32" s="40" t="s">
        <v>88</v>
      </c>
      <c r="J32" s="40"/>
      <c r="K32" s="40"/>
      <c r="L32" s="40"/>
      <c r="M32" s="40"/>
      <c r="N32" s="40"/>
      <c r="O32" s="45"/>
      <c r="P32" s="40"/>
      <c r="R32" s="48" t="s">
        <v>36</v>
      </c>
      <c r="S32" s="58" t="s">
        <v>28</v>
      </c>
      <c r="T32" s="58" t="s">
        <v>23</v>
      </c>
      <c r="U32" s="19">
        <f>Y29</f>
        <v>-4.13339054800939</v>
      </c>
      <c r="V32" s="58">
        <f>Z29</f>
        <v>3.9028693195312005</v>
      </c>
      <c r="W32" s="58" t="s">
        <v>22</v>
      </c>
      <c r="X32" s="58" t="s">
        <v>23</v>
      </c>
      <c r="Y32" s="19">
        <f>U32+(U30-Y29-2*$G$58)/3</f>
        <v>-2.3206340346721435</v>
      </c>
      <c r="Z32" s="19">
        <f>V32+$G$48</f>
        <v>4.124671573512043</v>
      </c>
      <c r="AA32" s="58" t="s">
        <v>24</v>
      </c>
      <c r="AB32" s="58"/>
    </row>
    <row r="33" spans="7:28" ht="12.75">
      <c r="G33" s="31"/>
      <c r="R33" s="48"/>
      <c r="S33" s="58" t="s">
        <v>28</v>
      </c>
      <c r="T33" s="58" t="s">
        <v>23</v>
      </c>
      <c r="U33" s="19">
        <f>U30</f>
        <v>4.13339054800939</v>
      </c>
      <c r="V33" s="58">
        <f>Z30</f>
        <v>3.9028693195312005</v>
      </c>
      <c r="W33" s="58" t="s">
        <v>22</v>
      </c>
      <c r="X33" s="58" t="s">
        <v>23</v>
      </c>
      <c r="Y33" s="19">
        <f>U33-(U30-Y29-2*$G$58)/3</f>
        <v>2.3206340346721435</v>
      </c>
      <c r="Z33" s="19">
        <f>V33+$G$48</f>
        <v>4.124671573512043</v>
      </c>
      <c r="AA33" s="58" t="s">
        <v>24</v>
      </c>
      <c r="AB33" s="58"/>
    </row>
    <row r="34" spans="1:28" ht="12.75">
      <c r="A34" s="8" t="s">
        <v>152</v>
      </c>
      <c r="B34" s="8"/>
      <c r="C34" s="8"/>
      <c r="D34" s="8"/>
      <c r="E34" s="8"/>
      <c r="F34" s="8"/>
      <c r="G34" s="10"/>
      <c r="H34" s="16"/>
      <c r="I34" s="8"/>
      <c r="J34" s="8"/>
      <c r="K34" s="8"/>
      <c r="L34" s="8"/>
      <c r="M34" s="8"/>
      <c r="N34" s="8"/>
      <c r="O34" s="8"/>
      <c r="P34" s="8"/>
      <c r="R34" s="48"/>
      <c r="S34" s="58"/>
      <c r="T34" s="58"/>
      <c r="U34" s="58"/>
      <c r="V34" s="58"/>
      <c r="W34" s="58"/>
      <c r="X34" s="58"/>
      <c r="Y34" s="58"/>
      <c r="Z34" s="58"/>
      <c r="AA34" s="58"/>
      <c r="AB34" s="58"/>
    </row>
    <row r="35" spans="7:28" ht="12.75">
      <c r="G35" s="31"/>
      <c r="R35" s="48" t="s">
        <v>27</v>
      </c>
      <c r="S35" s="58" t="s">
        <v>28</v>
      </c>
      <c r="T35" s="58" t="s">
        <v>23</v>
      </c>
      <c r="U35" s="19">
        <f>Y32</f>
        <v>-2.3206340346721435</v>
      </c>
      <c r="V35" s="58">
        <f>Z32+(V32-Z32)/2-$G$53/2</f>
        <v>3.9501562893124316</v>
      </c>
      <c r="W35" s="58" t="s">
        <v>22</v>
      </c>
      <c r="X35" s="58" t="s">
        <v>23</v>
      </c>
      <c r="Y35" s="19">
        <f>U35+$G$54</f>
        <v>-0.8957065026918529</v>
      </c>
      <c r="Z35" s="19">
        <f>V35+$G$53</f>
        <v>4.077384603730813</v>
      </c>
      <c r="AA35" s="58" t="s">
        <v>24</v>
      </c>
      <c r="AB35" s="58"/>
    </row>
    <row r="36" spans="2:28" ht="12.75">
      <c r="B36" s="1" t="s">
        <v>207</v>
      </c>
      <c r="C36" s="1" t="s">
        <v>33</v>
      </c>
      <c r="D36" s="1" t="s">
        <v>208</v>
      </c>
      <c r="F36" s="1" t="s">
        <v>33</v>
      </c>
      <c r="G36" s="51">
        <f>M36/0.0254</f>
        <v>7.491876881825389</v>
      </c>
      <c r="H36" s="21" t="s">
        <v>45</v>
      </c>
      <c r="I36" s="53">
        <f>M36*1000</f>
        <v>190.29367279836487</v>
      </c>
      <c r="J36" s="1" t="s">
        <v>44</v>
      </c>
      <c r="K36" s="51">
        <f>M36*100</f>
        <v>19.02936727983649</v>
      </c>
      <c r="L36" s="1" t="s">
        <v>43</v>
      </c>
      <c r="M36" s="42">
        <f>G8/G13</f>
        <v>0.19029367279836487</v>
      </c>
      <c r="N36" s="1" t="s">
        <v>35</v>
      </c>
      <c r="R36" s="48"/>
      <c r="S36" s="58" t="s">
        <v>28</v>
      </c>
      <c r="T36" s="58" t="s">
        <v>23</v>
      </c>
      <c r="U36" s="19">
        <f>Y33</f>
        <v>2.3206340346721435</v>
      </c>
      <c r="V36" s="58">
        <f>Z33+(V33-Z33)/2-$G$53/2</f>
        <v>3.9501562893124316</v>
      </c>
      <c r="W36" s="58" t="s">
        <v>22</v>
      </c>
      <c r="X36" s="58" t="s">
        <v>23</v>
      </c>
      <c r="Y36" s="19">
        <f>U36-$G$54</f>
        <v>0.8957065026918529</v>
      </c>
      <c r="Z36" s="19">
        <f>V36+$G$53</f>
        <v>4.077384603730813</v>
      </c>
      <c r="AA36" s="58" t="s">
        <v>24</v>
      </c>
      <c r="AB36" s="58"/>
    </row>
    <row r="37" spans="13:28" ht="12.75">
      <c r="M37" s="51"/>
      <c r="R37" s="48"/>
      <c r="S37" s="58"/>
      <c r="T37" s="58"/>
      <c r="U37" s="58"/>
      <c r="V37" s="58"/>
      <c r="W37" s="58"/>
      <c r="X37" s="58"/>
      <c r="Y37" s="58"/>
      <c r="Z37" s="58"/>
      <c r="AA37" s="58"/>
      <c r="AB37" s="58"/>
    </row>
    <row r="38" spans="1:28" ht="12.75">
      <c r="A38" s="8" t="s">
        <v>48</v>
      </c>
      <c r="B38" s="8"/>
      <c r="C38" s="8"/>
      <c r="D38" s="8"/>
      <c r="E38" s="8"/>
      <c r="F38" s="8"/>
      <c r="G38" s="10"/>
      <c r="H38" s="16"/>
      <c r="I38" s="8"/>
      <c r="J38" s="8"/>
      <c r="K38" s="8"/>
      <c r="L38" s="8"/>
      <c r="M38" s="15"/>
      <c r="N38" s="8"/>
      <c r="O38" s="8"/>
      <c r="P38" s="8"/>
      <c r="R38" s="48" t="s">
        <v>46</v>
      </c>
      <c r="S38" s="58" t="s">
        <v>28</v>
      </c>
      <c r="T38" s="58" t="s">
        <v>23</v>
      </c>
      <c r="U38" s="19">
        <f>Y35</f>
        <v>-0.8957065026918529</v>
      </c>
      <c r="V38" s="58">
        <f>V35+(Z35-V35)/2-$G$49/2</f>
        <v>3.981513880292964</v>
      </c>
      <c r="W38" s="58" t="s">
        <v>22</v>
      </c>
      <c r="X38" s="58" t="s">
        <v>23</v>
      </c>
      <c r="Y38" s="19">
        <f>Y36</f>
        <v>0.8957065026918529</v>
      </c>
      <c r="Z38" s="58">
        <f>V35+(Z35-V35)/2+$G$49/2</f>
        <v>4.046027012750281</v>
      </c>
      <c r="AA38" s="58" t="s">
        <v>24</v>
      </c>
      <c r="AB38" s="58"/>
    </row>
    <row r="39" spans="7:28" ht="12.75">
      <c r="G39" s="31"/>
      <c r="M39" s="51"/>
      <c r="S39" s="58"/>
      <c r="T39" s="58"/>
      <c r="U39" s="58"/>
      <c r="V39" s="58"/>
      <c r="W39" s="58"/>
      <c r="X39" s="58"/>
      <c r="Y39" s="58"/>
      <c r="Z39" s="58"/>
      <c r="AA39" s="58"/>
      <c r="AB39" s="58"/>
    </row>
    <row r="40" spans="2:28" ht="12.75">
      <c r="B40" s="12" t="s">
        <v>112</v>
      </c>
      <c r="C40" s="12" t="s">
        <v>33</v>
      </c>
      <c r="D40" s="12" t="s">
        <v>113</v>
      </c>
      <c r="E40" s="12"/>
      <c r="F40" s="12" t="s">
        <v>33</v>
      </c>
      <c r="G40" s="26">
        <f>M40/0.0254</f>
        <v>5.404000000000001</v>
      </c>
      <c r="H40" s="23" t="s">
        <v>45</v>
      </c>
      <c r="I40" s="53">
        <f>M40*1000</f>
        <v>137.26160000000002</v>
      </c>
      <c r="J40" s="1" t="s">
        <v>44</v>
      </c>
      <c r="K40" s="51">
        <f>M40*100</f>
        <v>13.726160000000002</v>
      </c>
      <c r="L40" s="1" t="s">
        <v>43</v>
      </c>
      <c r="M40" s="42">
        <f>G16+2*G17+2*G18</f>
        <v>0.1372616</v>
      </c>
      <c r="N40" s="1" t="s">
        <v>35</v>
      </c>
      <c r="R40" s="48" t="s">
        <v>105</v>
      </c>
      <c r="S40" s="58" t="s">
        <v>106</v>
      </c>
      <c r="T40" s="58" t="s">
        <v>107</v>
      </c>
      <c r="U40" s="37">
        <f>$G$24</f>
        <v>0.05</v>
      </c>
      <c r="V40" s="58" t="s">
        <v>108</v>
      </c>
      <c r="W40" s="58"/>
      <c r="X40" s="58"/>
      <c r="Y40" s="58"/>
      <c r="Z40" s="58"/>
      <c r="AA40" s="58"/>
      <c r="AB40" s="58"/>
    </row>
    <row r="41" spans="2:28" ht="12.75">
      <c r="B41" s="12" t="s">
        <v>140</v>
      </c>
      <c r="C41" s="12" t="s">
        <v>33</v>
      </c>
      <c r="D41" s="12" t="s">
        <v>141</v>
      </c>
      <c r="E41" s="12"/>
      <c r="F41" s="12" t="s">
        <v>33</v>
      </c>
      <c r="G41" s="26">
        <f>M41/0.0254</f>
        <v>2.433963634731622</v>
      </c>
      <c r="H41" s="23" t="s">
        <v>45</v>
      </c>
      <c r="I41" s="53">
        <f>M41*1000</f>
        <v>61.82267632218319</v>
      </c>
      <c r="J41" s="1" t="s">
        <v>44</v>
      </c>
      <c r="K41" s="51">
        <f>M41*100</f>
        <v>6.182267632218319</v>
      </c>
      <c r="L41" s="1" t="s">
        <v>43</v>
      </c>
      <c r="M41" s="42">
        <f>B118</f>
        <v>0.06182267632218319</v>
      </c>
      <c r="N41" s="1" t="s">
        <v>35</v>
      </c>
      <c r="R41" s="48"/>
      <c r="S41" s="58" t="s">
        <v>138</v>
      </c>
      <c r="T41" s="58" t="s">
        <v>242</v>
      </c>
      <c r="U41" s="58" t="s">
        <v>23</v>
      </c>
      <c r="V41" s="58">
        <v>0</v>
      </c>
      <c r="W41" s="58">
        <f>V38+(Z38-V38)/2</f>
        <v>4.013770446521622</v>
      </c>
      <c r="X41" s="58" t="s">
        <v>24</v>
      </c>
      <c r="Y41" s="58"/>
      <c r="Z41" s="58"/>
      <c r="AA41" s="58"/>
      <c r="AB41" s="58"/>
    </row>
    <row r="42" spans="2:28" ht="12.75">
      <c r="B42" s="12" t="s">
        <v>166</v>
      </c>
      <c r="C42" s="12" t="s">
        <v>33</v>
      </c>
      <c r="D42" s="12" t="s">
        <v>167</v>
      </c>
      <c r="E42" s="12"/>
      <c r="F42" s="12" t="s">
        <v>33</v>
      </c>
      <c r="G42" s="26">
        <f>M42/0.0254</f>
        <v>16.977166699999245</v>
      </c>
      <c r="H42" s="23" t="s">
        <v>45</v>
      </c>
      <c r="I42" s="53">
        <f>M42*1000</f>
        <v>431.22003417998076</v>
      </c>
      <c r="J42" s="1" t="s">
        <v>44</v>
      </c>
      <c r="K42" s="51">
        <f>M42*100</f>
        <v>43.12200341799808</v>
      </c>
      <c r="L42" s="1" t="s">
        <v>43</v>
      </c>
      <c r="M42" s="42">
        <f>PI()*$M$40</f>
        <v>0.4312200341799808</v>
      </c>
      <c r="N42" s="1" t="s">
        <v>35</v>
      </c>
      <c r="S42" s="58"/>
      <c r="T42" s="58"/>
      <c r="U42" s="58"/>
      <c r="V42" s="58"/>
      <c r="W42" s="58"/>
      <c r="X42" s="58"/>
      <c r="Y42" s="58"/>
      <c r="Z42" s="58"/>
      <c r="AA42" s="58"/>
      <c r="AB42" s="58"/>
    </row>
    <row r="43" spans="2:28" ht="12.75">
      <c r="B43" s="12" t="s">
        <v>195</v>
      </c>
      <c r="C43" s="12" t="s">
        <v>33</v>
      </c>
      <c r="D43" s="12" t="s">
        <v>196</v>
      </c>
      <c r="E43" s="12"/>
      <c r="F43" s="12" t="s">
        <v>33</v>
      </c>
      <c r="G43" s="12">
        <f>IF(I43&lt;1,1,IF(I43&lt;2,2,IF(I43&lt;4,4,IF(I43&lt;8,8,IF(I43&lt;16,16,"Error! Too many Lambda")))))</f>
        <v>4</v>
      </c>
      <c r="H43" s="23" t="s">
        <v>198</v>
      </c>
      <c r="I43" s="81">
        <f>M42/(M36/SQRT($G$12))</f>
        <v>3.3616388649059763</v>
      </c>
      <c r="J43" s="1" t="s">
        <v>198</v>
      </c>
      <c r="K43" s="51"/>
      <c r="M43" s="42"/>
      <c r="R43" s="48" t="s">
        <v>193</v>
      </c>
      <c r="S43" s="58" t="s">
        <v>25</v>
      </c>
      <c r="T43" s="58">
        <v>0.01</v>
      </c>
      <c r="U43" s="58" t="s">
        <v>23</v>
      </c>
      <c r="V43" s="58">
        <v>-9</v>
      </c>
      <c r="W43" s="58">
        <v>0</v>
      </c>
      <c r="X43" s="58" t="s">
        <v>194</v>
      </c>
      <c r="Y43" s="58" t="s">
        <v>23</v>
      </c>
      <c r="Z43" s="58">
        <v>9</v>
      </c>
      <c r="AA43" s="58">
        <v>0</v>
      </c>
      <c r="AB43" s="58" t="s">
        <v>24</v>
      </c>
    </row>
    <row r="44" spans="2:28" ht="12.75">
      <c r="B44" s="12" t="s">
        <v>199</v>
      </c>
      <c r="C44" s="12" t="s">
        <v>33</v>
      </c>
      <c r="D44" s="12" t="s">
        <v>224</v>
      </c>
      <c r="E44" s="12"/>
      <c r="F44" s="12" t="s">
        <v>33</v>
      </c>
      <c r="G44" s="24">
        <f>IF(ISBLANK($G$14),G43*60*M36/M42,$G$14)</f>
        <v>105.90992498401829</v>
      </c>
      <c r="H44" s="23" t="s">
        <v>99</v>
      </c>
      <c r="I44" s="53"/>
      <c r="K44" s="51"/>
      <c r="M44" s="42"/>
      <c r="R44" s="48"/>
      <c r="S44" s="58" t="s">
        <v>25</v>
      </c>
      <c r="T44" s="58">
        <v>0.01</v>
      </c>
      <c r="U44" s="58" t="s">
        <v>23</v>
      </c>
      <c r="V44" s="58">
        <v>-9</v>
      </c>
      <c r="W44" s="58">
        <f>$W$41+$G$48/2+$G$22+$G$31</f>
        <v>4.7846715735120435</v>
      </c>
      <c r="X44" s="58" t="s">
        <v>22</v>
      </c>
      <c r="Y44" s="58" t="s">
        <v>23</v>
      </c>
      <c r="Z44" s="58">
        <v>9</v>
      </c>
      <c r="AA44" s="27">
        <f>W44</f>
        <v>4.7846715735120435</v>
      </c>
      <c r="AB44" s="58" t="s">
        <v>24</v>
      </c>
    </row>
    <row r="45" spans="9:28" ht="12.75">
      <c r="I45" s="53"/>
      <c r="K45" s="51"/>
      <c r="M45" s="42"/>
      <c r="S45" s="58"/>
      <c r="T45" s="58"/>
      <c r="U45" s="58"/>
      <c r="V45" s="58"/>
      <c r="W45" s="58"/>
      <c r="X45" s="58"/>
      <c r="Y45" s="58"/>
      <c r="Z45" s="58"/>
      <c r="AA45" s="58"/>
      <c r="AB45" s="58"/>
    </row>
    <row r="46" spans="1:28" ht="12.75">
      <c r="A46" s="8" t="s">
        <v>74</v>
      </c>
      <c r="B46" s="8"/>
      <c r="C46" s="8"/>
      <c r="D46" s="8"/>
      <c r="E46" s="8"/>
      <c r="F46" s="8"/>
      <c r="G46" s="8"/>
      <c r="H46" s="16"/>
      <c r="I46" s="17"/>
      <c r="J46" s="8"/>
      <c r="K46" s="15"/>
      <c r="L46" s="8"/>
      <c r="M46" s="22"/>
      <c r="N46" s="8"/>
      <c r="O46" s="8"/>
      <c r="P46" s="8"/>
      <c r="R46" s="48" t="s">
        <v>73</v>
      </c>
      <c r="S46" s="58" t="s">
        <v>25</v>
      </c>
      <c r="T46" s="58">
        <v>0.1</v>
      </c>
      <c r="U46" s="58" t="s">
        <v>23</v>
      </c>
      <c r="V46" s="58">
        <f>$G$42/2+T46</f>
        <v>8.588583349999622</v>
      </c>
      <c r="W46" s="37">
        <f>W44-+$G$22</f>
        <v>4.424671573512043</v>
      </c>
      <c r="X46" s="58" t="s">
        <v>22</v>
      </c>
      <c r="Y46" s="58" t="s">
        <v>23</v>
      </c>
      <c r="Z46" s="37">
        <f>V46</f>
        <v>8.588583349999622</v>
      </c>
      <c r="AA46" s="27">
        <f>$Z$9+$G$22</f>
        <v>3.453963634731622</v>
      </c>
      <c r="AB46" s="58" t="s">
        <v>24</v>
      </c>
    </row>
    <row r="47" spans="9:28" ht="12.75">
      <c r="I47" s="53"/>
      <c r="K47" s="51"/>
      <c r="M47" s="42"/>
      <c r="R47" s="48"/>
      <c r="S47" s="58" t="s">
        <v>25</v>
      </c>
      <c r="T47" s="58">
        <v>0.1</v>
      </c>
      <c r="U47" s="58" t="s">
        <v>23</v>
      </c>
      <c r="V47" s="58">
        <f>-$G$42/2-T47</f>
        <v>-8.588583349999622</v>
      </c>
      <c r="W47" s="37">
        <f>W44-+$G$22</f>
        <v>4.424671573512043</v>
      </c>
      <c r="X47" s="58" t="s">
        <v>22</v>
      </c>
      <c r="Y47" s="58" t="s">
        <v>23</v>
      </c>
      <c r="Z47" s="58">
        <f>V47</f>
        <v>-8.588583349999622</v>
      </c>
      <c r="AA47" s="27">
        <f>$Z$9+$G$22</f>
        <v>3.453963634731622</v>
      </c>
      <c r="AB47" s="58" t="s">
        <v>24</v>
      </c>
    </row>
    <row r="48" spans="2:28" ht="12.75">
      <c r="B48" s="12" t="s">
        <v>32</v>
      </c>
      <c r="C48" s="12" t="s">
        <v>33</v>
      </c>
      <c r="D48" s="12" t="s">
        <v>134</v>
      </c>
      <c r="E48" s="12"/>
      <c r="F48" s="12" t="s">
        <v>33</v>
      </c>
      <c r="G48" s="26">
        <f>G73/0.0254</f>
        <v>0.22180225398084272</v>
      </c>
      <c r="H48" s="23" t="s">
        <v>45</v>
      </c>
      <c r="I48" s="53">
        <f>G48*25.4</f>
        <v>5.633777251113405</v>
      </c>
      <c r="J48" s="1" t="s">
        <v>44</v>
      </c>
      <c r="K48" s="51">
        <f>G48*2.54</f>
        <v>0.5633777251113405</v>
      </c>
      <c r="L48" s="1" t="s">
        <v>43</v>
      </c>
      <c r="M48" s="42">
        <f>G48*0.0254</f>
        <v>0.005633777251113405</v>
      </c>
      <c r="N48" s="1" t="s">
        <v>35</v>
      </c>
      <c r="S48" s="58"/>
      <c r="T48" s="58"/>
      <c r="U48" s="58"/>
      <c r="V48" s="58"/>
      <c r="W48" s="58"/>
      <c r="X48" s="58"/>
      <c r="Y48" s="58"/>
      <c r="Z48" s="58"/>
      <c r="AA48" s="58"/>
      <c r="AB48" s="58"/>
    </row>
    <row r="49" spans="2:28" ht="12.75">
      <c r="B49" s="12" t="s">
        <v>123</v>
      </c>
      <c r="C49" s="12" t="s">
        <v>33</v>
      </c>
      <c r="D49" s="12" t="s">
        <v>160</v>
      </c>
      <c r="E49" s="12"/>
      <c r="F49" s="12" t="s">
        <v>33</v>
      </c>
      <c r="G49" s="26">
        <f>G83/0.0254</f>
        <v>0.06451313245731712</v>
      </c>
      <c r="H49" s="23" t="s">
        <v>45</v>
      </c>
      <c r="I49" s="53">
        <f>G49*25.4</f>
        <v>1.6386335644158547</v>
      </c>
      <c r="J49" s="1" t="s">
        <v>44</v>
      </c>
      <c r="K49" s="51">
        <f>G49*2.54</f>
        <v>0.16386335644158548</v>
      </c>
      <c r="L49" s="1" t="s">
        <v>43</v>
      </c>
      <c r="M49" s="42">
        <f>G49*0.0254</f>
        <v>0.0016386335644158546</v>
      </c>
      <c r="N49" s="1" t="s">
        <v>35</v>
      </c>
      <c r="R49" s="48" t="s">
        <v>158</v>
      </c>
      <c r="S49" s="58" t="s">
        <v>28</v>
      </c>
      <c r="T49" s="58" t="s">
        <v>23</v>
      </c>
      <c r="U49" s="58">
        <f>Y11+(U11-Y11)/2</f>
        <v>-3.1832187562498584</v>
      </c>
      <c r="V49" s="58">
        <f>Z11-(Z11-Z16)/2</f>
        <v>3.5145447602457405</v>
      </c>
      <c r="W49" s="58" t="s">
        <v>22</v>
      </c>
      <c r="X49" s="58" t="s">
        <v>23</v>
      </c>
      <c r="Y49" s="58">
        <f>Y11</f>
        <v>-3.154894196964398</v>
      </c>
      <c r="Z49" s="12">
        <f>Z11</f>
        <v>3.4862202009602803</v>
      </c>
      <c r="AA49" s="58" t="s">
        <v>24</v>
      </c>
      <c r="AB49" s="58"/>
    </row>
    <row r="50" spans="2:28" ht="12.75">
      <c r="B50" s="12" t="s">
        <v>114</v>
      </c>
      <c r="C50" s="12" t="s">
        <v>33</v>
      </c>
      <c r="D50" s="12" t="s">
        <v>190</v>
      </c>
      <c r="E50" s="12"/>
      <c r="F50" s="12" t="s">
        <v>33</v>
      </c>
      <c r="G50" s="26">
        <f>G90/0.0254</f>
        <v>0.05664911857092016</v>
      </c>
      <c r="H50" s="23" t="s">
        <v>45</v>
      </c>
      <c r="I50" s="53">
        <f>G50*25.4</f>
        <v>1.4388876117013718</v>
      </c>
      <c r="J50" s="1" t="s">
        <v>44</v>
      </c>
      <c r="K50" s="51">
        <f>G50*2.54</f>
        <v>0.1438887611701372</v>
      </c>
      <c r="L50" s="1" t="s">
        <v>43</v>
      </c>
      <c r="M50" s="42">
        <f>G50*0.0254</f>
        <v>0.0014388876117013719</v>
      </c>
      <c r="N50" s="1" t="s">
        <v>35</v>
      </c>
      <c r="R50" s="48"/>
      <c r="S50" s="58" t="s">
        <v>25</v>
      </c>
      <c r="T50" s="19">
        <f>$G$50/2</f>
        <v>0.02832455928546008</v>
      </c>
      <c r="U50" s="58" t="s">
        <v>23</v>
      </c>
      <c r="V50" s="58">
        <f>Y11+3*(U11-Y11)/4</f>
        <v>-3.1973810358925885</v>
      </c>
      <c r="W50" s="58">
        <f>Z11</f>
        <v>3.4862202009602803</v>
      </c>
      <c r="X50" s="58" t="s">
        <v>22</v>
      </c>
      <c r="Y50" s="58" t="s">
        <v>23</v>
      </c>
      <c r="Z50" s="58">
        <f>Y11</f>
        <v>-3.154894196964398</v>
      </c>
      <c r="AA50" s="37">
        <f>Z11-3*(Z11-Z16)/4</f>
        <v>3.5287070398884706</v>
      </c>
      <c r="AB50" s="58" t="s">
        <v>24</v>
      </c>
    </row>
    <row r="51" spans="9:28" ht="12.75">
      <c r="I51" s="53"/>
      <c r="K51" s="51"/>
      <c r="M51" s="42"/>
      <c r="R51" s="48"/>
      <c r="S51" s="58"/>
      <c r="T51" s="58"/>
      <c r="U51" s="58"/>
      <c r="V51" s="58"/>
      <c r="W51" s="58"/>
      <c r="X51" s="58"/>
      <c r="Y51" s="58"/>
      <c r="Z51" s="58"/>
      <c r="AA51" s="58"/>
      <c r="AB51" s="58"/>
    </row>
    <row r="52" spans="2:28" ht="12.75">
      <c r="B52" s="12" t="s">
        <v>64</v>
      </c>
      <c r="C52" s="12" t="s">
        <v>33</v>
      </c>
      <c r="D52" s="12" t="s">
        <v>65</v>
      </c>
      <c r="E52" s="12"/>
      <c r="F52" s="12" t="s">
        <v>33</v>
      </c>
      <c r="G52" s="24">
        <f>G94</f>
        <v>70.71067811865476</v>
      </c>
      <c r="H52" s="23" t="s">
        <v>67</v>
      </c>
      <c r="I52" s="53"/>
      <c r="K52" s="51"/>
      <c r="M52" s="42"/>
      <c r="R52" s="48" t="s">
        <v>216</v>
      </c>
      <c r="S52" s="58" t="s">
        <v>28</v>
      </c>
      <c r="T52" s="58" t="s">
        <v>23</v>
      </c>
      <c r="U52" s="58">
        <f>U12</f>
        <v>-1.089397478035413</v>
      </c>
      <c r="V52" s="58">
        <f>Z12</f>
        <v>3.4862202009602803</v>
      </c>
      <c r="W52" s="58" t="s">
        <v>22</v>
      </c>
      <c r="X52" s="58" t="s">
        <v>23</v>
      </c>
      <c r="Y52" s="58">
        <f>U12+(Y12-U12)/2</f>
        <v>-1.0610729187499528</v>
      </c>
      <c r="Z52" s="12">
        <f>Z12+(Z17-V17)/2</f>
        <v>3.5145447602457405</v>
      </c>
      <c r="AA52" s="58" t="s">
        <v>24</v>
      </c>
      <c r="AB52" s="58"/>
    </row>
    <row r="53" spans="2:28" ht="12.75">
      <c r="B53" s="12" t="s">
        <v>95</v>
      </c>
      <c r="C53" s="12" t="s">
        <v>33</v>
      </c>
      <c r="D53" s="12" t="s">
        <v>96</v>
      </c>
      <c r="E53" s="12"/>
      <c r="F53" s="12" t="s">
        <v>33</v>
      </c>
      <c r="G53" s="26">
        <f>G99/0.0254</f>
        <v>0.12722831441838153</v>
      </c>
      <c r="H53" s="23" t="s">
        <v>45</v>
      </c>
      <c r="I53" s="53">
        <f>G53*25.4</f>
        <v>3.231599186226891</v>
      </c>
      <c r="J53" s="1" t="s">
        <v>44</v>
      </c>
      <c r="K53" s="51">
        <f>G53*2.54</f>
        <v>0.3231599186226891</v>
      </c>
      <c r="L53" s="1" t="s">
        <v>43</v>
      </c>
      <c r="M53" s="42">
        <f>G53*0.0254</f>
        <v>0.0032315991862268906</v>
      </c>
      <c r="N53" s="1" t="s">
        <v>35</v>
      </c>
      <c r="R53" s="48"/>
      <c r="S53" s="58" t="s">
        <v>25</v>
      </c>
      <c r="T53" s="19">
        <f>$G$50/2</f>
        <v>0.02832455928546008</v>
      </c>
      <c r="U53" s="58" t="s">
        <v>23</v>
      </c>
      <c r="V53" s="58">
        <f>U12</f>
        <v>-1.089397478035413</v>
      </c>
      <c r="W53" s="58">
        <f>Z12+3*(Z17-Z12)/4</f>
        <v>3.5287070398884706</v>
      </c>
      <c r="X53" s="58" t="s">
        <v>22</v>
      </c>
      <c r="Y53" s="58" t="s">
        <v>23</v>
      </c>
      <c r="Z53" s="58">
        <f>U12+3*(Y12-U12)/4</f>
        <v>-1.0469106391072227</v>
      </c>
      <c r="AA53" s="37">
        <f>Z12</f>
        <v>3.4862202009602803</v>
      </c>
      <c r="AB53" s="58" t="s">
        <v>24</v>
      </c>
    </row>
    <row r="54" spans="2:28" ht="12.75">
      <c r="B54" s="12" t="s">
        <v>119</v>
      </c>
      <c r="C54" s="12" t="s">
        <v>33</v>
      </c>
      <c r="D54" s="12" t="s">
        <v>126</v>
      </c>
      <c r="E54" s="12"/>
      <c r="F54" s="12" t="s">
        <v>33</v>
      </c>
      <c r="G54" s="26">
        <f>G102/0.0254</f>
        <v>1.4249275319802905</v>
      </c>
      <c r="H54" s="23" t="s">
        <v>45</v>
      </c>
      <c r="I54" s="53">
        <f>G54*25.4</f>
        <v>36.19315931229938</v>
      </c>
      <c r="J54" s="1" t="s">
        <v>44</v>
      </c>
      <c r="K54" s="51">
        <f>G54*2.54</f>
        <v>3.619315931229938</v>
      </c>
      <c r="L54" s="1" t="s">
        <v>43</v>
      </c>
      <c r="M54" s="42">
        <f>G54*0.0254</f>
        <v>0.036193159312299376</v>
      </c>
      <c r="N54" s="1" t="s">
        <v>35</v>
      </c>
      <c r="R54" s="48"/>
      <c r="S54" s="58"/>
      <c r="T54" s="58"/>
      <c r="U54" s="58"/>
      <c r="V54" s="58"/>
      <c r="W54" s="58"/>
      <c r="X54" s="58"/>
      <c r="Y54" s="58"/>
      <c r="Z54" s="58"/>
      <c r="AA54" s="58"/>
      <c r="AB54" s="58"/>
    </row>
    <row r="55" spans="9:28" ht="12.75">
      <c r="I55" s="53"/>
      <c r="K55" s="51"/>
      <c r="M55" s="42"/>
      <c r="R55" s="48" t="s">
        <v>62</v>
      </c>
      <c r="S55" s="58" t="s">
        <v>28</v>
      </c>
      <c r="T55" s="58" t="s">
        <v>23</v>
      </c>
      <c r="U55" s="58">
        <f>Y13+(U13-Y13)/2</f>
        <v>1.0610729187499528</v>
      </c>
      <c r="V55" s="58">
        <f>Z13-(Z13-Z18)/2</f>
        <v>3.5145447602457405</v>
      </c>
      <c r="W55" s="58" t="s">
        <v>22</v>
      </c>
      <c r="X55" s="58" t="s">
        <v>23</v>
      </c>
      <c r="Y55" s="58">
        <f>Y13</f>
        <v>1.089397478035413</v>
      </c>
      <c r="Z55" s="12">
        <f>Z13</f>
        <v>3.4862202009602803</v>
      </c>
      <c r="AA55" s="58" t="s">
        <v>24</v>
      </c>
      <c r="AB55" s="58"/>
    </row>
    <row r="56" spans="2:28" ht="12.75">
      <c r="B56" s="12" t="s">
        <v>227</v>
      </c>
      <c r="C56" s="12" t="s">
        <v>33</v>
      </c>
      <c r="D56" s="12" t="s">
        <v>240</v>
      </c>
      <c r="E56" s="12"/>
      <c r="F56" s="12" t="s">
        <v>33</v>
      </c>
      <c r="G56" s="24">
        <f>G106</f>
        <v>102.91254781804709</v>
      </c>
      <c r="H56" s="23" t="s">
        <v>67</v>
      </c>
      <c r="I56" s="53"/>
      <c r="K56" s="51"/>
      <c r="M56" s="42"/>
      <c r="R56" s="48"/>
      <c r="S56" s="58" t="s">
        <v>25</v>
      </c>
      <c r="T56" s="19">
        <f>$G$50/2</f>
        <v>0.02832455928546008</v>
      </c>
      <c r="U56" s="58" t="s">
        <v>23</v>
      </c>
      <c r="V56" s="58">
        <f>Y13+3*(U13-Y13)/4</f>
        <v>1.0469106391072227</v>
      </c>
      <c r="W56" s="58">
        <f>Z13</f>
        <v>3.4862202009602803</v>
      </c>
      <c r="X56" s="58" t="s">
        <v>22</v>
      </c>
      <c r="Y56" s="58" t="s">
        <v>23</v>
      </c>
      <c r="Z56" s="58">
        <f>Y13</f>
        <v>1.089397478035413</v>
      </c>
      <c r="AA56" s="37">
        <f>Z13-3*(Z13-Z18)/4</f>
        <v>3.5287070398884706</v>
      </c>
      <c r="AB56" s="58" t="s">
        <v>24</v>
      </c>
    </row>
    <row r="57" spans="2:28" ht="12.75">
      <c r="B57" s="12" t="s">
        <v>168</v>
      </c>
      <c r="C57" s="12" t="s">
        <v>33</v>
      </c>
      <c r="D57" s="12" t="s">
        <v>243</v>
      </c>
      <c r="E57" s="12"/>
      <c r="F57" s="12" t="s">
        <v>33</v>
      </c>
      <c r="G57" s="26">
        <f>G111/0.0254</f>
        <v>0.0604994493140233</v>
      </c>
      <c r="H57" s="23" t="s">
        <v>45</v>
      </c>
      <c r="I57" s="53">
        <f>G57*25.4</f>
        <v>1.5366860125761916</v>
      </c>
      <c r="J57" s="1" t="s">
        <v>44</v>
      </c>
      <c r="K57" s="51">
        <f>G57*2.54</f>
        <v>0.15366860125761916</v>
      </c>
      <c r="L57" s="1" t="s">
        <v>43</v>
      </c>
      <c r="M57" s="42">
        <f>G57*0.0254</f>
        <v>0.0015366860125761916</v>
      </c>
      <c r="N57" s="1" t="s">
        <v>35</v>
      </c>
      <c r="R57" s="48"/>
      <c r="S57" s="58"/>
      <c r="T57" s="58"/>
      <c r="U57" s="58"/>
      <c r="V57" s="58"/>
      <c r="W57" s="58"/>
      <c r="X57" s="58"/>
      <c r="Y57" s="58"/>
      <c r="Z57" s="58"/>
      <c r="AA57" s="58"/>
      <c r="AB57" s="58"/>
    </row>
    <row r="58" spans="2:28" ht="12.75">
      <c r="B58" s="12" t="s">
        <v>38</v>
      </c>
      <c r="C58" s="12" t="s">
        <v>33</v>
      </c>
      <c r="D58" s="12" t="s">
        <v>126</v>
      </c>
      <c r="E58" s="12"/>
      <c r="F58" s="12" t="s">
        <v>33</v>
      </c>
      <c r="G58" s="26">
        <f>G114/0.0254</f>
        <v>1.4142557780035205</v>
      </c>
      <c r="H58" s="23" t="s">
        <v>45</v>
      </c>
      <c r="I58" s="53">
        <f>G58*25.4</f>
        <v>35.92209676128942</v>
      </c>
      <c r="J58" s="1" t="s">
        <v>44</v>
      </c>
      <c r="K58" s="51">
        <f>G58*2.54</f>
        <v>3.592209676128942</v>
      </c>
      <c r="L58" s="1" t="s">
        <v>43</v>
      </c>
      <c r="M58" s="42">
        <f>G58*0.0254</f>
        <v>0.03592209676128942</v>
      </c>
      <c r="N58" s="1" t="s">
        <v>35</v>
      </c>
      <c r="R58" s="48" t="s">
        <v>122</v>
      </c>
      <c r="S58" s="58" t="s">
        <v>28</v>
      </c>
      <c r="T58" s="58" t="s">
        <v>23</v>
      </c>
      <c r="U58" s="58">
        <f>U14</f>
        <v>3.154894196964398</v>
      </c>
      <c r="V58" s="58">
        <f>Z14</f>
        <v>3.4862202009602803</v>
      </c>
      <c r="W58" s="58" t="s">
        <v>22</v>
      </c>
      <c r="X58" s="58" t="s">
        <v>23</v>
      </c>
      <c r="Y58" s="58">
        <f>U14+(Y14-U14)/2</f>
        <v>3.1832187562498584</v>
      </c>
      <c r="Z58" s="12">
        <f>Z14+(Z19-V19)/2</f>
        <v>3.5145447602457405</v>
      </c>
      <c r="AA58" s="58" t="s">
        <v>24</v>
      </c>
      <c r="AB58" s="58"/>
    </row>
    <row r="59" spans="13:41" ht="12.75">
      <c r="M59" s="42"/>
      <c r="R59" s="48"/>
      <c r="S59" s="58" t="s">
        <v>25</v>
      </c>
      <c r="T59" s="19">
        <f>$G$50/2</f>
        <v>0.02832455928546008</v>
      </c>
      <c r="U59" s="58" t="s">
        <v>23</v>
      </c>
      <c r="V59" s="58">
        <f>U14</f>
        <v>3.154894196964398</v>
      </c>
      <c r="W59" s="58">
        <f>Z14+3*(Z19-Z14)/4</f>
        <v>3.5287070398884706</v>
      </c>
      <c r="X59" s="58" t="s">
        <v>22</v>
      </c>
      <c r="Y59" s="58" t="s">
        <v>23</v>
      </c>
      <c r="Z59" s="58">
        <f>U14+3*(Y14-U14)/4</f>
        <v>3.1973810358925885</v>
      </c>
      <c r="AA59" s="37">
        <f>Z14</f>
        <v>3.4862202009602803</v>
      </c>
      <c r="AB59" s="58" t="s">
        <v>24</v>
      </c>
      <c r="AO59" s="1"/>
    </row>
    <row r="60" spans="1:28" ht="12.75">
      <c r="A60" s="8" t="s">
        <v>84</v>
      </c>
      <c r="B60" s="8"/>
      <c r="C60" s="8"/>
      <c r="D60" s="8"/>
      <c r="E60" s="8"/>
      <c r="F60" s="8"/>
      <c r="G60" s="8"/>
      <c r="H60" s="16"/>
      <c r="I60" s="8"/>
      <c r="J60" s="8"/>
      <c r="K60" s="8"/>
      <c r="L60" s="8"/>
      <c r="M60" s="22"/>
      <c r="N60" s="8"/>
      <c r="O60" s="8"/>
      <c r="P60" s="8"/>
      <c r="S60" s="58"/>
      <c r="T60" s="58"/>
      <c r="U60" s="58"/>
      <c r="V60" s="58"/>
      <c r="W60" s="58"/>
      <c r="X60" s="58"/>
      <c r="Y60" s="58"/>
      <c r="Z60" s="58"/>
      <c r="AA60" s="58"/>
      <c r="AB60" s="58"/>
    </row>
    <row r="61" spans="13:28" ht="12.75">
      <c r="M61" s="42"/>
      <c r="R61" s="48" t="s">
        <v>214</v>
      </c>
      <c r="S61" s="58" t="s">
        <v>28</v>
      </c>
      <c r="T61" s="58" t="s">
        <v>23</v>
      </c>
      <c r="U61" s="58">
        <f>Y29+(U29-Y29)/2</f>
        <v>-4.244291674999811</v>
      </c>
      <c r="V61" s="58">
        <f>Z29-(Z29-Z32)/2</f>
        <v>4.013770446521622</v>
      </c>
      <c r="W61" s="58" t="s">
        <v>22</v>
      </c>
      <c r="X61" s="58" t="s">
        <v>23</v>
      </c>
      <c r="Y61" s="19">
        <f>Y29</f>
        <v>-4.13339054800939</v>
      </c>
      <c r="Z61" s="12">
        <f>Z29</f>
        <v>3.9028693195312005</v>
      </c>
      <c r="AA61" s="58" t="s">
        <v>24</v>
      </c>
      <c r="AB61" s="58"/>
    </row>
    <row r="62" spans="2:28" ht="12.75">
      <c r="B62" s="12" t="s">
        <v>146</v>
      </c>
      <c r="C62" s="12" t="s">
        <v>33</v>
      </c>
      <c r="D62" s="12" t="s">
        <v>147</v>
      </c>
      <c r="E62" s="12"/>
      <c r="F62" s="12" t="s">
        <v>33</v>
      </c>
      <c r="G62" s="12">
        <f>W44</f>
        <v>4.7846715735120435</v>
      </c>
      <c r="H62" s="23" t="s">
        <v>45</v>
      </c>
      <c r="I62" s="53">
        <f>G62*25.4</f>
        <v>121.5306579672059</v>
      </c>
      <c r="J62" s="1" t="s">
        <v>44</v>
      </c>
      <c r="K62" s="51">
        <f>G62*2.54</f>
        <v>12.153065796720592</v>
      </c>
      <c r="L62" s="1" t="s">
        <v>43</v>
      </c>
      <c r="M62" s="42">
        <f>G62*0.0254</f>
        <v>0.1215306579672059</v>
      </c>
      <c r="N62" s="1" t="s">
        <v>35</v>
      </c>
      <c r="R62" s="48"/>
      <c r="S62" s="58" t="s">
        <v>25</v>
      </c>
      <c r="T62" s="19">
        <f>$G$48/2</f>
        <v>0.11090112699042136</v>
      </c>
      <c r="U62" s="58" t="s">
        <v>23</v>
      </c>
      <c r="V62" s="58">
        <f>Y29+3*(U29-Y29)/4</f>
        <v>-4.299742238495021</v>
      </c>
      <c r="W62" s="58">
        <f>Z29</f>
        <v>3.9028693195312005</v>
      </c>
      <c r="X62" s="58" t="s">
        <v>22</v>
      </c>
      <c r="Y62" s="58" t="s">
        <v>23</v>
      </c>
      <c r="Z62" s="19">
        <f>Y29</f>
        <v>-4.13339054800939</v>
      </c>
      <c r="AA62" s="27">
        <f>Z29-3*(Z29-Z32)/4</f>
        <v>4.0692210100168325</v>
      </c>
      <c r="AB62" s="58" t="s">
        <v>24</v>
      </c>
    </row>
    <row r="63" spans="18:28" ht="12.75">
      <c r="R63" s="48"/>
      <c r="S63" s="58"/>
      <c r="T63" s="58"/>
      <c r="U63" s="58"/>
      <c r="V63" s="58"/>
      <c r="W63" s="58"/>
      <c r="X63" s="58"/>
      <c r="Y63" s="58"/>
      <c r="Z63" s="58"/>
      <c r="AA63" s="58"/>
      <c r="AB63" s="58"/>
    </row>
    <row r="64" spans="1:28" ht="12.75">
      <c r="A64" s="8" t="s">
        <v>205</v>
      </c>
      <c r="B64" s="8"/>
      <c r="C64" s="8"/>
      <c r="D64" s="8"/>
      <c r="E64" s="8"/>
      <c r="F64" s="8"/>
      <c r="G64" s="8"/>
      <c r="H64" s="16"/>
      <c r="I64" s="8"/>
      <c r="J64" s="8"/>
      <c r="K64" s="8"/>
      <c r="L64" s="8"/>
      <c r="M64" s="8"/>
      <c r="N64" s="8"/>
      <c r="O64" s="8"/>
      <c r="P64" s="8"/>
      <c r="R64" s="48" t="s">
        <v>53</v>
      </c>
      <c r="S64" s="58" t="s">
        <v>28</v>
      </c>
      <c r="T64" s="58" t="s">
        <v>23</v>
      </c>
      <c r="U64" s="19">
        <f>U30</f>
        <v>4.13339054800939</v>
      </c>
      <c r="V64" s="58">
        <f>Z30</f>
        <v>3.9028693195312005</v>
      </c>
      <c r="W64" s="58" t="s">
        <v>22</v>
      </c>
      <c r="X64" s="58" t="s">
        <v>23</v>
      </c>
      <c r="Y64" s="58">
        <f>U30+(Y30-U30)/2</f>
        <v>4.244291674999811</v>
      </c>
      <c r="Z64" s="12">
        <f>Z30+(Z33-V33)/2</f>
        <v>4.013770446521622</v>
      </c>
      <c r="AA64" s="58" t="s">
        <v>24</v>
      </c>
      <c r="AB64" s="58"/>
    </row>
    <row r="65" spans="18:28" ht="12.75">
      <c r="R65" s="48"/>
      <c r="S65" s="58" t="s">
        <v>25</v>
      </c>
      <c r="T65" s="19">
        <f>$G$48/2</f>
        <v>0.11090112699042136</v>
      </c>
      <c r="U65" s="58" t="s">
        <v>23</v>
      </c>
      <c r="V65" s="19">
        <f>U30</f>
        <v>4.13339054800939</v>
      </c>
      <c r="W65" s="58">
        <f>Z30+3*(Z33-Z30)/4</f>
        <v>4.0692210100168325</v>
      </c>
      <c r="X65" s="58" t="s">
        <v>22</v>
      </c>
      <c r="Y65" s="58" t="s">
        <v>23</v>
      </c>
      <c r="Z65" s="58">
        <f>U30+3*(Y30-U30)/4</f>
        <v>4.299742238495021</v>
      </c>
      <c r="AA65" s="27">
        <f>Z30</f>
        <v>3.9028693195312005</v>
      </c>
      <c r="AB65" s="58" t="s">
        <v>24</v>
      </c>
    </row>
    <row r="66" spans="1:28" ht="12.75">
      <c r="A66" s="59" t="s">
        <v>47</v>
      </c>
      <c r="S66" s="58"/>
      <c r="T66" s="58"/>
      <c r="U66" s="58"/>
      <c r="V66" s="58"/>
      <c r="W66" s="58"/>
      <c r="X66" s="58"/>
      <c r="Y66" s="58"/>
      <c r="Z66" s="58"/>
      <c r="AA66" s="58"/>
      <c r="AB66" s="58"/>
    </row>
    <row r="67" spans="18:28" ht="12.75">
      <c r="R67" s="48" t="s">
        <v>148</v>
      </c>
      <c r="S67" s="58" t="s">
        <v>149</v>
      </c>
      <c r="T67" s="58" t="s">
        <v>150</v>
      </c>
      <c r="U67" s="58"/>
      <c r="V67" s="58"/>
      <c r="W67" s="58"/>
      <c r="X67" s="58"/>
      <c r="Y67" s="58"/>
      <c r="Z67" s="58"/>
      <c r="AA67" s="58"/>
      <c r="AB67" s="58"/>
    </row>
    <row r="68" spans="2:28" ht="12.75">
      <c r="B68" s="1" t="s">
        <v>109</v>
      </c>
      <c r="C68" s="1" t="s">
        <v>33</v>
      </c>
      <c r="D68" s="1" t="s">
        <v>110</v>
      </c>
      <c r="F68" s="1" t="s">
        <v>33</v>
      </c>
      <c r="G68" s="1">
        <v>50</v>
      </c>
      <c r="H68" s="21" t="s">
        <v>99</v>
      </c>
      <c r="R68" s="48"/>
      <c r="S68" s="58" t="s">
        <v>31</v>
      </c>
      <c r="T68" s="58">
        <v>0.01</v>
      </c>
      <c r="U68" s="58" t="s">
        <v>23</v>
      </c>
      <c r="V68" s="58">
        <f>$G$42/2-($G$28+$G$26/2)</f>
        <v>8.288583349999623</v>
      </c>
      <c r="W68" s="58">
        <f>$G$28+$G$26/2</f>
        <v>0.2</v>
      </c>
      <c r="X68" s="58" t="s">
        <v>22</v>
      </c>
      <c r="Y68" s="58" t="s">
        <v>23</v>
      </c>
      <c r="Z68" s="37">
        <f>V68+$G$26/2</f>
        <v>8.388583349999623</v>
      </c>
      <c r="AA68" s="58">
        <f>W68</f>
        <v>0.2</v>
      </c>
      <c r="AB68" s="58" t="s">
        <v>24</v>
      </c>
    </row>
    <row r="69" spans="18:28" ht="12.75">
      <c r="R69" s="48"/>
      <c r="S69" s="58" t="s">
        <v>31</v>
      </c>
      <c r="T69" s="58">
        <v>0.01</v>
      </c>
      <c r="U69" s="58" t="s">
        <v>23</v>
      </c>
      <c r="V69" s="58">
        <f>$G$42/4</f>
        <v>4.244291674999811</v>
      </c>
      <c r="W69" s="58">
        <f>$G$28+$G$26/2</f>
        <v>0.2</v>
      </c>
      <c r="X69" s="58" t="s">
        <v>22</v>
      </c>
      <c r="Y69" s="58" t="s">
        <v>23</v>
      </c>
      <c r="Z69" s="37">
        <f>V69+$G$26/2</f>
        <v>4.344291674999811</v>
      </c>
      <c r="AA69" s="58">
        <f>W69</f>
        <v>0.2</v>
      </c>
      <c r="AB69" s="58" t="s">
        <v>24</v>
      </c>
    </row>
    <row r="70" spans="2:28" ht="12.75">
      <c r="B70" s="1" t="s">
        <v>78</v>
      </c>
      <c r="C70" s="1" t="s">
        <v>33</v>
      </c>
      <c r="D70" s="1" t="s">
        <v>79</v>
      </c>
      <c r="F70" s="1" t="s">
        <v>33</v>
      </c>
      <c r="G70" s="53">
        <f>377*PI()/(2*G68*SQRT($G$12))</f>
        <v>7.983893738565503</v>
      </c>
      <c r="I70" s="1" t="s">
        <v>80</v>
      </c>
      <c r="K70" s="1">
        <f>2/PI()*(G70-1-LN(2*G70-1)+($G$12-1)/(2*$G$12)*(LN(G70-1)+0.39-0.61/$G$12))</f>
        <v>3.080586860845038</v>
      </c>
      <c r="R70" s="48"/>
      <c r="S70" s="58" t="s">
        <v>31</v>
      </c>
      <c r="T70" s="58">
        <v>0.01</v>
      </c>
      <c r="U70" s="58" t="s">
        <v>23</v>
      </c>
      <c r="V70" s="58">
        <v>0</v>
      </c>
      <c r="W70" s="58">
        <f>$G$28+$G$26/2</f>
        <v>0.2</v>
      </c>
      <c r="X70" s="58" t="s">
        <v>22</v>
      </c>
      <c r="Y70" s="58" t="s">
        <v>23</v>
      </c>
      <c r="Z70" s="37">
        <f>V70+$G$26/2</f>
        <v>0.1</v>
      </c>
      <c r="AA70" s="58">
        <f>W70</f>
        <v>0.2</v>
      </c>
      <c r="AB70" s="58" t="s">
        <v>24</v>
      </c>
    </row>
    <row r="71" spans="2:28" ht="12.75">
      <c r="B71" s="1" t="s">
        <v>63</v>
      </c>
      <c r="C71" s="1" t="s">
        <v>33</v>
      </c>
      <c r="D71" s="1" t="s">
        <v>50</v>
      </c>
      <c r="F71" s="1" t="s">
        <v>33</v>
      </c>
      <c r="G71" s="53">
        <f>G68/60*SQRT(($G$12+1)/2)+($G$12-1)/($G$12+1)*(0.23+0.11/$G$12)</f>
        <v>1.1592317121411704</v>
      </c>
      <c r="I71" s="1" t="s">
        <v>52</v>
      </c>
      <c r="K71" s="1">
        <f>8*EXP(G71)/(EXP(2*G71)-2)</f>
        <v>3.1249643702581893</v>
      </c>
      <c r="R71" s="48"/>
      <c r="S71" s="58" t="s">
        <v>31</v>
      </c>
      <c r="T71" s="58">
        <v>0.01</v>
      </c>
      <c r="U71" s="58" t="s">
        <v>23</v>
      </c>
      <c r="V71" s="58">
        <f>-$G$42/4</f>
        <v>-4.244291674999811</v>
      </c>
      <c r="W71" s="58">
        <f>$G$28+$G$26/2</f>
        <v>0.2</v>
      </c>
      <c r="X71" s="58" t="s">
        <v>22</v>
      </c>
      <c r="Y71" s="58" t="s">
        <v>23</v>
      </c>
      <c r="Z71" s="37">
        <f>V71+$G$26/2</f>
        <v>-4.1442916749998115</v>
      </c>
      <c r="AA71" s="58">
        <f>W71</f>
        <v>0.2</v>
      </c>
      <c r="AB71" s="58" t="s">
        <v>24</v>
      </c>
    </row>
    <row r="72" spans="18:28" ht="12.75">
      <c r="R72" s="48"/>
      <c r="S72" s="58" t="s">
        <v>31</v>
      </c>
      <c r="T72" s="58">
        <v>0.01</v>
      </c>
      <c r="U72" s="58" t="s">
        <v>23</v>
      </c>
      <c r="V72" s="58">
        <f>-$G$42/2+($G$28+$G$26/2)</f>
        <v>-8.288583349999623</v>
      </c>
      <c r="W72" s="58">
        <f>$G$28+$G$26/2</f>
        <v>0.2</v>
      </c>
      <c r="X72" s="58" t="s">
        <v>22</v>
      </c>
      <c r="Y72" s="58" t="s">
        <v>23</v>
      </c>
      <c r="Z72" s="37">
        <f>V72+$G$26/2</f>
        <v>-8.188583349999623</v>
      </c>
      <c r="AA72" s="58">
        <f>W72</f>
        <v>0.2</v>
      </c>
      <c r="AB72" s="58" t="s">
        <v>24</v>
      </c>
    </row>
    <row r="73" spans="2:28" ht="12.75">
      <c r="B73" s="1" t="s">
        <v>32</v>
      </c>
      <c r="C73" s="1" t="s">
        <v>33</v>
      </c>
      <c r="D73" s="1" t="s">
        <v>34</v>
      </c>
      <c r="F73" s="1" t="s">
        <v>33</v>
      </c>
      <c r="G73" s="49">
        <f>IF(AND(K70&gt;2,K71&gt;2),K70*$G$18,K71*$G$18)</f>
        <v>0.005633777251113405</v>
      </c>
      <c r="H73" s="21" t="s">
        <v>35</v>
      </c>
      <c r="R73" s="48"/>
      <c r="S73" s="58"/>
      <c r="T73" s="58"/>
      <c r="U73" s="58"/>
      <c r="V73" s="58"/>
      <c r="W73" s="58"/>
      <c r="X73" s="58"/>
      <c r="Y73" s="58"/>
      <c r="Z73" s="58"/>
      <c r="AA73" s="58"/>
      <c r="AB73" s="58"/>
    </row>
    <row r="74" spans="18:28" ht="12.75">
      <c r="R74" s="48"/>
      <c r="S74" s="58" t="s">
        <v>31</v>
      </c>
      <c r="T74" s="58">
        <v>0.01</v>
      </c>
      <c r="U74" s="58" t="s">
        <v>23</v>
      </c>
      <c r="V74" s="58">
        <f>$G$42/2-($G$28+$G$26/2)</f>
        <v>8.288583349999623</v>
      </c>
      <c r="W74" s="19">
        <f>$AA$44-($G$28+$G$26/2)</f>
        <v>4.584671573512043</v>
      </c>
      <c r="X74" s="58" t="s">
        <v>22</v>
      </c>
      <c r="Y74" s="58" t="s">
        <v>23</v>
      </c>
      <c r="Z74" s="37">
        <f>V74+$G$26/2</f>
        <v>8.388583349999623</v>
      </c>
      <c r="AA74" s="27">
        <f>W74</f>
        <v>4.584671573512043</v>
      </c>
      <c r="AB74" s="58" t="s">
        <v>24</v>
      </c>
    </row>
    <row r="75" spans="1:28" ht="12.75">
      <c r="A75" s="59" t="s">
        <v>100</v>
      </c>
      <c r="R75" s="48"/>
      <c r="S75" s="58" t="s">
        <v>31</v>
      </c>
      <c r="T75" s="58">
        <v>0.01</v>
      </c>
      <c r="U75" s="58" t="s">
        <v>23</v>
      </c>
      <c r="V75" s="58">
        <f>$G$42/4</f>
        <v>4.244291674999811</v>
      </c>
      <c r="W75" s="19">
        <f>$AA$44-($G$28+$G$26/2)</f>
        <v>4.584671573512043</v>
      </c>
      <c r="X75" s="58" t="s">
        <v>22</v>
      </c>
      <c r="Y75" s="58" t="s">
        <v>23</v>
      </c>
      <c r="Z75" s="37">
        <f>V75+$G$26/2</f>
        <v>4.344291674999811</v>
      </c>
      <c r="AA75" s="27">
        <f>W75</f>
        <v>4.584671573512043</v>
      </c>
      <c r="AB75" s="58" t="s">
        <v>24</v>
      </c>
    </row>
    <row r="76" spans="18:28" ht="12.75">
      <c r="R76" s="48"/>
      <c r="S76" s="58" t="s">
        <v>31</v>
      </c>
      <c r="T76" s="58">
        <v>0.01</v>
      </c>
      <c r="U76" s="58" t="s">
        <v>23</v>
      </c>
      <c r="V76" s="58">
        <v>0</v>
      </c>
      <c r="W76" s="19">
        <f>$AA$44-($G$28+$G$26/2)</f>
        <v>4.584671573512043</v>
      </c>
      <c r="X76" s="58" t="s">
        <v>22</v>
      </c>
      <c r="Y76" s="58" t="s">
        <v>23</v>
      </c>
      <c r="Z76" s="37">
        <f>V76+$G$26/2</f>
        <v>0.1</v>
      </c>
      <c r="AA76" s="27">
        <f>W76</f>
        <v>4.584671573512043</v>
      </c>
      <c r="AB76" s="58" t="s">
        <v>24</v>
      </c>
    </row>
    <row r="77" spans="2:28" ht="12.75">
      <c r="B77" s="1" t="s">
        <v>159</v>
      </c>
      <c r="C77" s="1" t="s">
        <v>33</v>
      </c>
      <c r="D77" s="1" t="s">
        <v>110</v>
      </c>
      <c r="F77" s="1" t="s">
        <v>33</v>
      </c>
      <c r="G77" s="1">
        <v>100</v>
      </c>
      <c r="H77" s="21" t="s">
        <v>99</v>
      </c>
      <c r="R77" s="48"/>
      <c r="S77" s="58" t="s">
        <v>31</v>
      </c>
      <c r="T77" s="58">
        <v>0.01</v>
      </c>
      <c r="U77" s="58" t="s">
        <v>23</v>
      </c>
      <c r="V77" s="58">
        <f>-$G$42/4</f>
        <v>-4.244291674999811</v>
      </c>
      <c r="W77" s="19">
        <f>$AA$44-($G$28+$G$26/2)</f>
        <v>4.584671573512043</v>
      </c>
      <c r="X77" s="58" t="s">
        <v>22</v>
      </c>
      <c r="Y77" s="58" t="s">
        <v>23</v>
      </c>
      <c r="Z77" s="37">
        <f>V77+$G$26/2</f>
        <v>-4.1442916749998115</v>
      </c>
      <c r="AA77" s="27">
        <f>W77</f>
        <v>4.584671573512043</v>
      </c>
      <c r="AB77" s="58" t="s">
        <v>24</v>
      </c>
    </row>
    <row r="78" spans="18:28" ht="12.75">
      <c r="R78" s="48"/>
      <c r="S78" s="58" t="s">
        <v>31</v>
      </c>
      <c r="T78" s="58">
        <v>0.01</v>
      </c>
      <c r="U78" s="58" t="s">
        <v>23</v>
      </c>
      <c r="V78" s="58">
        <f>-$G$42/2+($G$28+$G$26/2)</f>
        <v>-8.288583349999623</v>
      </c>
      <c r="W78" s="19">
        <f>$AA$44-($G$28+$G$26/2)</f>
        <v>4.584671573512043</v>
      </c>
      <c r="X78" s="58" t="s">
        <v>22</v>
      </c>
      <c r="Y78" s="58" t="s">
        <v>23</v>
      </c>
      <c r="Z78" s="37">
        <f>V78+$G$26/2</f>
        <v>-8.188583349999623</v>
      </c>
      <c r="AA78" s="27">
        <f>W78</f>
        <v>4.584671573512043</v>
      </c>
      <c r="AB78" s="58" t="s">
        <v>24</v>
      </c>
    </row>
    <row r="79" spans="1:28" ht="12.75">
      <c r="A79" s="3"/>
      <c r="B79" s="1" t="s">
        <v>78</v>
      </c>
      <c r="C79" s="1" t="s">
        <v>33</v>
      </c>
      <c r="D79" s="1" t="s">
        <v>79</v>
      </c>
      <c r="F79" s="1" t="s">
        <v>33</v>
      </c>
      <c r="G79" s="53">
        <f>377*PI()/(2*G77*SQRT($G$12))</f>
        <v>3.9919468692827516</v>
      </c>
      <c r="I79" s="1" t="s">
        <v>80</v>
      </c>
      <c r="K79" s="1">
        <f>2/PI()*(G79-1-LN(2*G79-1)+($G$12-1)/(2*$G$12)*(LN(G79-1)+0.39-0.61/$G$12))</f>
        <v>0.8773114364026972</v>
      </c>
      <c r="R79" s="48"/>
      <c r="S79" s="58"/>
      <c r="T79" s="58"/>
      <c r="U79" s="58"/>
      <c r="V79" s="58"/>
      <c r="W79" s="58"/>
      <c r="X79" s="58"/>
      <c r="Y79" s="58"/>
      <c r="Z79" s="58"/>
      <c r="AA79" s="58"/>
      <c r="AB79" s="58"/>
    </row>
    <row r="80" spans="1:28" ht="12.75">
      <c r="A80" s="3"/>
      <c r="G80" s="53"/>
      <c r="R80" s="48"/>
      <c r="S80" s="58" t="s">
        <v>31</v>
      </c>
      <c r="T80" s="58">
        <v>0.01</v>
      </c>
      <c r="U80" s="58" t="s">
        <v>23</v>
      </c>
      <c r="V80" s="58">
        <f>$G$42/2-($G$28+$G$26/2)</f>
        <v>8.288583349999623</v>
      </c>
      <c r="W80" s="58">
        <f>$V$9+($Z$9-$V$9)/2</f>
        <v>1.8769818173658108</v>
      </c>
      <c r="X80" s="58" t="s">
        <v>22</v>
      </c>
      <c r="Y80" s="58" t="s">
        <v>23</v>
      </c>
      <c r="Z80" s="37">
        <f>V80+$G$26/2</f>
        <v>8.388583349999623</v>
      </c>
      <c r="AA80" s="27">
        <f>W80</f>
        <v>1.8769818173658108</v>
      </c>
      <c r="AB80" s="58" t="s">
        <v>24</v>
      </c>
    </row>
    <row r="81" spans="2:28" ht="12.75">
      <c r="B81" s="1" t="s">
        <v>63</v>
      </c>
      <c r="C81" s="1" t="s">
        <v>33</v>
      </c>
      <c r="D81" s="1" t="s">
        <v>50</v>
      </c>
      <c r="F81" s="1" t="s">
        <v>33</v>
      </c>
      <c r="G81" s="53">
        <f>G77/60*SQRT(($G$12+1)/2)+($G$12-1)/($G$12+1)*(0.23+0.11/$G$12)</f>
        <v>2.213432963220763</v>
      </c>
      <c r="I81" s="1" t="s">
        <v>52</v>
      </c>
      <c r="K81" s="1">
        <f>8*EXP(G81)/(EXP(2*G81)-2)</f>
        <v>0.8960157285738488</v>
      </c>
      <c r="R81" s="48"/>
      <c r="S81" s="58" t="s">
        <v>31</v>
      </c>
      <c r="T81" s="58">
        <v>0.01</v>
      </c>
      <c r="U81" s="58" t="s">
        <v>23</v>
      </c>
      <c r="V81" s="58">
        <f>-$G$42/2+($G$28+$G$26/2)</f>
        <v>-8.288583349999623</v>
      </c>
      <c r="W81" s="58">
        <f>$V$9+($Z$9-$V$9)/2</f>
        <v>1.8769818173658108</v>
      </c>
      <c r="X81" s="58" t="s">
        <v>22</v>
      </c>
      <c r="Y81" s="58" t="s">
        <v>23</v>
      </c>
      <c r="Z81" s="37">
        <f>V81+$G$26/2</f>
        <v>-8.188583349999623</v>
      </c>
      <c r="AA81" s="27">
        <f>W81</f>
        <v>1.8769818173658108</v>
      </c>
      <c r="AB81" s="58" t="s">
        <v>24</v>
      </c>
    </row>
    <row r="82" spans="19:28" ht="12.75">
      <c r="S82" s="58"/>
      <c r="T82" s="58"/>
      <c r="U82" s="58"/>
      <c r="V82" s="58"/>
      <c r="W82" s="58"/>
      <c r="X82" s="58"/>
      <c r="Y82" s="58"/>
      <c r="Z82" s="58"/>
      <c r="AA82" s="58"/>
      <c r="AB82" s="58"/>
    </row>
    <row r="83" spans="2:28" ht="12.75">
      <c r="B83" s="1" t="s">
        <v>123</v>
      </c>
      <c r="C83" s="1" t="s">
        <v>33</v>
      </c>
      <c r="D83" s="1" t="s">
        <v>124</v>
      </c>
      <c r="F83" s="1" t="s">
        <v>33</v>
      </c>
      <c r="G83" s="49">
        <f>IF(AND(K79&gt;2,K81&gt;2),K79*$G$18,K81*$G$18)</f>
        <v>0.0016386335644158546</v>
      </c>
      <c r="H83" s="21" t="s">
        <v>35</v>
      </c>
      <c r="R83" s="48" t="s">
        <v>189</v>
      </c>
      <c r="S83" s="58" t="s">
        <v>26</v>
      </c>
      <c r="T83" s="37">
        <f>$G$24</f>
        <v>0.05</v>
      </c>
      <c r="U83" s="58" t="s">
        <v>23</v>
      </c>
      <c r="V83" s="58">
        <f>$G$42/2-($G$28+$G$26/2)</f>
        <v>8.288583349999623</v>
      </c>
      <c r="W83" s="58">
        <f>$G$28+$G$26/2</f>
        <v>0.2</v>
      </c>
      <c r="X83" s="58" t="s">
        <v>24</v>
      </c>
      <c r="Y83" s="58"/>
      <c r="Z83" s="37"/>
      <c r="AA83" s="58"/>
      <c r="AB83" s="58"/>
    </row>
    <row r="84" spans="18:28" ht="12.75">
      <c r="R84" s="48"/>
      <c r="S84" s="58" t="s">
        <v>26</v>
      </c>
      <c r="T84" s="37">
        <f>$G$24</f>
        <v>0.05</v>
      </c>
      <c r="U84" s="58" t="s">
        <v>23</v>
      </c>
      <c r="V84" s="58">
        <f>$G$42/4</f>
        <v>4.244291674999811</v>
      </c>
      <c r="W84" s="58">
        <f>$G$28+$G$26/2</f>
        <v>0.2</v>
      </c>
      <c r="X84" s="58" t="s">
        <v>24</v>
      </c>
      <c r="Y84" s="58"/>
      <c r="Z84" s="37"/>
      <c r="AA84" s="58"/>
      <c r="AB84" s="58"/>
    </row>
    <row r="85" spans="1:28" ht="12.75">
      <c r="A85" s="59" t="s">
        <v>179</v>
      </c>
      <c r="R85" s="48"/>
      <c r="S85" s="58" t="s">
        <v>26</v>
      </c>
      <c r="T85" s="37">
        <f>$G$24</f>
        <v>0.05</v>
      </c>
      <c r="U85" s="58" t="s">
        <v>23</v>
      </c>
      <c r="V85" s="58">
        <v>0</v>
      </c>
      <c r="W85" s="58">
        <f>$G$28+$G$26/2</f>
        <v>0.2</v>
      </c>
      <c r="X85" s="58" t="s">
        <v>24</v>
      </c>
      <c r="Y85" s="58"/>
      <c r="Z85" s="37"/>
      <c r="AA85" s="58"/>
      <c r="AB85" s="58"/>
    </row>
    <row r="86" spans="18:28" ht="12.75">
      <c r="R86" s="48"/>
      <c r="S86" s="58" t="s">
        <v>26</v>
      </c>
      <c r="T86" s="37">
        <f>$G$24</f>
        <v>0.05</v>
      </c>
      <c r="U86" s="58" t="s">
        <v>23</v>
      </c>
      <c r="V86" s="58">
        <f>-$G$42/4</f>
        <v>-4.244291674999811</v>
      </c>
      <c r="W86" s="58">
        <f>$G$28+$G$26/2</f>
        <v>0.2</v>
      </c>
      <c r="X86" s="58" t="s">
        <v>24</v>
      </c>
      <c r="Y86" s="58"/>
      <c r="Z86" s="37"/>
      <c r="AA86" s="58"/>
      <c r="AB86" s="58"/>
    </row>
    <row r="87" spans="2:28" ht="12.75">
      <c r="B87" s="1" t="s">
        <v>78</v>
      </c>
      <c r="C87" s="1" t="s">
        <v>33</v>
      </c>
      <c r="D87" s="1" t="s">
        <v>79</v>
      </c>
      <c r="F87" s="1" t="s">
        <v>33</v>
      </c>
      <c r="G87" s="53">
        <f>377*PI()/(2*$G$44*SQRT($G$12))</f>
        <v>3.7691905360948303</v>
      </c>
      <c r="I87" s="1" t="s">
        <v>80</v>
      </c>
      <c r="K87" s="1">
        <f>2/PI()*(G87-1-LN(2*G87-1)+($G$12-1)/(2*$G$12)*(LN(G87-1)+0.39-0.61/$G$12))</f>
        <v>0.7640279398551304</v>
      </c>
      <c r="R87" s="48"/>
      <c r="S87" s="58" t="s">
        <v>26</v>
      </c>
      <c r="T87" s="37">
        <f>$G$24</f>
        <v>0.05</v>
      </c>
      <c r="U87" s="58" t="s">
        <v>23</v>
      </c>
      <c r="V87" s="58">
        <f>-$G$42/2+($G$28+$G$26/2)</f>
        <v>-8.288583349999623</v>
      </c>
      <c r="W87" s="58">
        <f>$G$28+$G$26/2</f>
        <v>0.2</v>
      </c>
      <c r="X87" s="58" t="s">
        <v>24</v>
      </c>
      <c r="Y87" s="58"/>
      <c r="Z87" s="37"/>
      <c r="AA87" s="58"/>
      <c r="AB87" s="58"/>
    </row>
    <row r="88" spans="2:28" ht="12.75">
      <c r="B88" s="1" t="s">
        <v>49</v>
      </c>
      <c r="C88" s="1" t="s">
        <v>33</v>
      </c>
      <c r="D88" s="1" t="s">
        <v>50</v>
      </c>
      <c r="F88" s="1" t="s">
        <v>33</v>
      </c>
      <c r="G88" s="53">
        <f>$G$44/60*SQRT(($G$12+1)/2)+($G$12-1)/($G$12+1)*(0.23+0.11/$G$12)</f>
        <v>2.3380379694595352</v>
      </c>
      <c r="I88" s="1" t="s">
        <v>52</v>
      </c>
      <c r="K88" s="1">
        <f>8*EXP(G88)/(EXP(2*G88)-2)</f>
        <v>0.7867933134850023</v>
      </c>
      <c r="R88" s="48"/>
      <c r="S88" s="58"/>
      <c r="T88" s="58"/>
      <c r="U88" s="58"/>
      <c r="V88" s="58"/>
      <c r="W88" s="58"/>
      <c r="X88" s="58"/>
      <c r="Y88" s="58"/>
      <c r="Z88" s="58"/>
      <c r="AA88" s="58"/>
      <c r="AB88" s="58"/>
    </row>
    <row r="89" spans="18:28" ht="12.75">
      <c r="R89" s="48"/>
      <c r="S89" s="58" t="s">
        <v>26</v>
      </c>
      <c r="T89" s="37">
        <f>$G$24</f>
        <v>0.05</v>
      </c>
      <c r="U89" s="58" t="s">
        <v>23</v>
      </c>
      <c r="V89" s="58">
        <f>$G$42/2-($G$28+$G$26/2)</f>
        <v>8.288583349999623</v>
      </c>
      <c r="W89" s="19">
        <f>$AA$44-($G$28+$G$26/2)</f>
        <v>4.584671573512043</v>
      </c>
      <c r="X89" s="58" t="s">
        <v>24</v>
      </c>
      <c r="Y89" s="58"/>
      <c r="Z89" s="37"/>
      <c r="AA89" s="58"/>
      <c r="AB89" s="58"/>
    </row>
    <row r="90" spans="2:28" ht="12.75">
      <c r="B90" s="1" t="s">
        <v>114</v>
      </c>
      <c r="C90" s="1" t="s">
        <v>33</v>
      </c>
      <c r="D90" s="1" t="s">
        <v>115</v>
      </c>
      <c r="F90" s="1" t="s">
        <v>33</v>
      </c>
      <c r="G90" s="49">
        <f>IF(AND(K87&gt;2,K88&gt;2),K87*$G$18,K88*$G$18)</f>
        <v>0.0014388876117013719</v>
      </c>
      <c r="H90" s="21" t="s">
        <v>35</v>
      </c>
      <c r="R90" s="48"/>
      <c r="S90" s="58" t="s">
        <v>26</v>
      </c>
      <c r="T90" s="37">
        <f>$G$24</f>
        <v>0.05</v>
      </c>
      <c r="U90" s="58" t="s">
        <v>23</v>
      </c>
      <c r="V90" s="58">
        <f>$G$42/4</f>
        <v>4.244291674999811</v>
      </c>
      <c r="W90" s="19">
        <f>$AA$44-($G$28+$G$26/2)</f>
        <v>4.584671573512043</v>
      </c>
      <c r="X90" s="58" t="s">
        <v>24</v>
      </c>
      <c r="Y90" s="58"/>
      <c r="Z90" s="37"/>
      <c r="AA90" s="58"/>
      <c r="AB90" s="58"/>
    </row>
    <row r="91" spans="18:28" ht="12.75">
      <c r="R91" s="48"/>
      <c r="S91" s="58" t="s">
        <v>26</v>
      </c>
      <c r="T91" s="37">
        <f>$G$24</f>
        <v>0.05</v>
      </c>
      <c r="U91" s="58" t="s">
        <v>23</v>
      </c>
      <c r="V91" s="58">
        <v>0</v>
      </c>
      <c r="W91" s="19">
        <f>$AA$44-($G$28+$G$26/2)</f>
        <v>4.584671573512043</v>
      </c>
      <c r="X91" s="58" t="s">
        <v>24</v>
      </c>
      <c r="Y91" s="58"/>
      <c r="Z91" s="37"/>
      <c r="AA91" s="58"/>
      <c r="AB91" s="58"/>
    </row>
    <row r="92" spans="1:28" ht="12.75">
      <c r="A92" s="59" t="s">
        <v>30</v>
      </c>
      <c r="R92" s="48"/>
      <c r="S92" s="58" t="s">
        <v>26</v>
      </c>
      <c r="T92" s="37">
        <f>$G$24</f>
        <v>0.05</v>
      </c>
      <c r="U92" s="58" t="s">
        <v>23</v>
      </c>
      <c r="V92" s="58">
        <f>-$G$42/4</f>
        <v>-4.244291674999811</v>
      </c>
      <c r="W92" s="19">
        <f>$AA$44-($G$28+$G$26/2)</f>
        <v>4.584671573512043</v>
      </c>
      <c r="X92" s="58" t="s">
        <v>24</v>
      </c>
      <c r="Y92" s="58"/>
      <c r="Z92" s="37"/>
      <c r="AA92" s="58"/>
      <c r="AB92" s="58"/>
    </row>
    <row r="93" spans="18:28" ht="12.75">
      <c r="R93" s="48"/>
      <c r="S93" s="58" t="s">
        <v>26</v>
      </c>
      <c r="T93" s="37">
        <f>$G$24</f>
        <v>0.05</v>
      </c>
      <c r="U93" s="58" t="s">
        <v>23</v>
      </c>
      <c r="V93" s="58">
        <f>-$G$42/2+($G$28+$G$26/2)</f>
        <v>-8.288583349999623</v>
      </c>
      <c r="W93" s="19">
        <f>$AA$44-($G$28+$G$26/2)</f>
        <v>4.584671573512043</v>
      </c>
      <c r="X93" s="58" t="s">
        <v>24</v>
      </c>
      <c r="Y93" s="58"/>
      <c r="Z93" s="37"/>
      <c r="AA93" s="58"/>
      <c r="AB93" s="58"/>
    </row>
    <row r="94" spans="2:28" ht="12.75">
      <c r="B94" s="1" t="s">
        <v>64</v>
      </c>
      <c r="C94" s="1" t="s">
        <v>33</v>
      </c>
      <c r="D94" s="1" t="s">
        <v>98</v>
      </c>
      <c r="F94" s="1" t="s">
        <v>33</v>
      </c>
      <c r="G94" s="53">
        <f>SQRT(100*50)</f>
        <v>70.71067811865476</v>
      </c>
      <c r="H94" s="21" t="s">
        <v>99</v>
      </c>
      <c r="R94" s="48"/>
      <c r="S94" s="58"/>
      <c r="T94" s="58"/>
      <c r="U94" s="58"/>
      <c r="V94" s="58"/>
      <c r="W94" s="58"/>
      <c r="X94" s="58"/>
      <c r="Y94" s="58"/>
      <c r="Z94" s="58"/>
      <c r="AA94" s="58"/>
      <c r="AB94" s="58"/>
    </row>
    <row r="95" spans="18:28" ht="12.75">
      <c r="R95" s="48"/>
      <c r="S95" s="58" t="s">
        <v>26</v>
      </c>
      <c r="T95" s="37">
        <f>$G$24</f>
        <v>0.05</v>
      </c>
      <c r="U95" s="58" t="s">
        <v>23</v>
      </c>
      <c r="V95" s="58">
        <f>$G$42/2-($G$28+$G$26/2)</f>
        <v>8.288583349999623</v>
      </c>
      <c r="W95" s="58">
        <f>$V$9+($Z$9-$V$9)/2</f>
        <v>1.8769818173658108</v>
      </c>
      <c r="X95" s="58" t="s">
        <v>24</v>
      </c>
      <c r="Y95" s="58"/>
      <c r="Z95" s="37"/>
      <c r="AA95" s="58"/>
      <c r="AB95" s="58"/>
    </row>
    <row r="96" spans="2:28" ht="12.75">
      <c r="B96" s="1" t="s">
        <v>78</v>
      </c>
      <c r="C96" s="1" t="s">
        <v>33</v>
      </c>
      <c r="D96" s="1" t="s">
        <v>79</v>
      </c>
      <c r="F96" s="1" t="s">
        <v>33</v>
      </c>
      <c r="G96" s="53">
        <f>377*PI()/(2*G94*SQRT($G$12))</f>
        <v>5.6454654028124835</v>
      </c>
      <c r="I96" s="1" t="s">
        <v>80</v>
      </c>
      <c r="K96" s="1">
        <f>2/PI()*(G96-1-LN(2*G96-1)+($G$12-1)/(2*$G$12)*(LN(G96-1)+0.39-0.61/$G$12))</f>
        <v>1.7595920795056181</v>
      </c>
      <c r="R96" s="48"/>
      <c r="S96" s="58" t="s">
        <v>26</v>
      </c>
      <c r="T96" s="37">
        <f>$G$24</f>
        <v>0.05</v>
      </c>
      <c r="U96" s="58" t="s">
        <v>23</v>
      </c>
      <c r="V96" s="58">
        <f>-$G$42/2+($G$28+$G$26/2)</f>
        <v>-8.288583349999623</v>
      </c>
      <c r="W96" s="58">
        <f>$V$9+($Z$9-$V$9)/2</f>
        <v>1.8769818173658108</v>
      </c>
      <c r="X96" s="58" t="s">
        <v>24</v>
      </c>
      <c r="Y96" s="58"/>
      <c r="Z96" s="37"/>
      <c r="AA96" s="58"/>
      <c r="AB96" s="58"/>
    </row>
    <row r="97" spans="2:28" ht="12.75">
      <c r="B97" s="1" t="s">
        <v>63</v>
      </c>
      <c r="C97" s="1" t="s">
        <v>33</v>
      </c>
      <c r="D97" s="1" t="s">
        <v>50</v>
      </c>
      <c r="F97" s="1" t="s">
        <v>33</v>
      </c>
      <c r="G97" s="53">
        <f>G94/60*SQRT(($G$12+1)/2)+($G$12-1)/($G$12+1)*(0.23+0.11/$G$12)</f>
        <v>1.595896167809022</v>
      </c>
      <c r="I97" s="1" t="s">
        <v>52</v>
      </c>
      <c r="K97" s="1">
        <f>8*EXP(G97)/(EXP(2*G97)-2)</f>
        <v>1.7670599224775214</v>
      </c>
      <c r="S97" s="58"/>
      <c r="T97" s="58"/>
      <c r="U97" s="58"/>
      <c r="V97" s="58"/>
      <c r="W97" s="58"/>
      <c r="X97" s="58"/>
      <c r="Y97" s="58"/>
      <c r="Z97" s="37"/>
      <c r="AA97" s="58"/>
      <c r="AB97" s="58"/>
    </row>
    <row r="98" spans="18:28" ht="12.75">
      <c r="R98" s="48" t="s">
        <v>203</v>
      </c>
      <c r="S98" s="58" t="s">
        <v>149</v>
      </c>
      <c r="T98" s="58" t="s">
        <v>204</v>
      </c>
      <c r="U98" s="58"/>
      <c r="V98" s="58"/>
      <c r="W98" s="58"/>
      <c r="X98" s="58"/>
      <c r="Y98" s="58"/>
      <c r="Z98" s="58"/>
      <c r="AA98" s="58"/>
      <c r="AB98" s="58"/>
    </row>
    <row r="99" spans="2:28" ht="12.75">
      <c r="B99" s="1" t="s">
        <v>95</v>
      </c>
      <c r="C99" s="1" t="s">
        <v>33</v>
      </c>
      <c r="D99" s="1" t="s">
        <v>169</v>
      </c>
      <c r="F99" s="1" t="s">
        <v>33</v>
      </c>
      <c r="G99" s="49">
        <f>IF(AND(K96&gt;2,K97&gt;2),K96*$G$18,K97*$G$18)</f>
        <v>0.0032315991862268906</v>
      </c>
      <c r="H99" s="21" t="s">
        <v>35</v>
      </c>
      <c r="R99" s="48"/>
      <c r="S99" s="58" t="s">
        <v>31</v>
      </c>
      <c r="T99" s="58">
        <v>0.01</v>
      </c>
      <c r="U99" s="58" t="s">
        <v>23</v>
      </c>
      <c r="V99" s="58">
        <f>V41</f>
        <v>0</v>
      </c>
      <c r="W99" s="58">
        <f>$W$41</f>
        <v>4.013770446521622</v>
      </c>
      <c r="X99" s="58" t="s">
        <v>22</v>
      </c>
      <c r="Y99" s="58" t="s">
        <v>23</v>
      </c>
      <c r="Z99" s="58">
        <f>V99+1/2*0.5</f>
        <v>0.25</v>
      </c>
      <c r="AA99" s="58">
        <f>W99</f>
        <v>4.013770446521622</v>
      </c>
      <c r="AB99" s="58" t="s">
        <v>24</v>
      </c>
    </row>
    <row r="100" spans="2:28" ht="12.75">
      <c r="B100" s="1" t="s">
        <v>60</v>
      </c>
      <c r="C100" s="1" t="s">
        <v>33</v>
      </c>
      <c r="D100" s="1" t="s">
        <v>61</v>
      </c>
      <c r="F100" s="1" t="s">
        <v>33</v>
      </c>
      <c r="G100" s="52">
        <f>($G$12+1)/2+($G$12-1)/2/SQRT(1+12/($G$18/G99))</f>
        <v>1.7277294066212427</v>
      </c>
      <c r="R100" s="48"/>
      <c r="S100" s="58"/>
      <c r="T100" s="58"/>
      <c r="U100" s="58"/>
      <c r="V100" s="58"/>
      <c r="W100" s="58"/>
      <c r="X100" s="58"/>
      <c r="Y100" s="58"/>
      <c r="Z100" s="58"/>
      <c r="AA100" s="58"/>
      <c r="AB100" s="58"/>
    </row>
    <row r="101" spans="2:28" ht="12.75">
      <c r="B101" s="1" t="s">
        <v>89</v>
      </c>
      <c r="C101" s="1" t="s">
        <v>33</v>
      </c>
      <c r="D101" s="1" t="s">
        <v>90</v>
      </c>
      <c r="F101" s="1" t="s">
        <v>33</v>
      </c>
      <c r="G101" s="49">
        <f>$M$36/SQRT(G100)</f>
        <v>0.1447726372491975</v>
      </c>
      <c r="H101" s="21" t="s">
        <v>35</v>
      </c>
      <c r="R101" s="48"/>
      <c r="S101" s="58" t="s">
        <v>31</v>
      </c>
      <c r="T101" s="58">
        <v>0.01</v>
      </c>
      <c r="U101" s="58" t="s">
        <v>23</v>
      </c>
      <c r="V101" s="58">
        <f>$G$42/2-($G$28+$G$26/2)</f>
        <v>8.288583349999623</v>
      </c>
      <c r="W101" s="58">
        <f>$G$28+$G$26/2</f>
        <v>0.2</v>
      </c>
      <c r="X101" s="58" t="s">
        <v>22</v>
      </c>
      <c r="Y101" s="58" t="s">
        <v>23</v>
      </c>
      <c r="Z101" s="37">
        <f>V101+$G$27/2</f>
        <v>8.333083349999622</v>
      </c>
      <c r="AA101" s="58">
        <f>W101</f>
        <v>0.2</v>
      </c>
      <c r="AB101" s="58" t="s">
        <v>24</v>
      </c>
    </row>
    <row r="102" spans="2:28" ht="12.75">
      <c r="B102" s="1" t="s">
        <v>119</v>
      </c>
      <c r="C102" s="1" t="s">
        <v>33</v>
      </c>
      <c r="D102" s="1" t="s">
        <v>39</v>
      </c>
      <c r="F102" s="1" t="s">
        <v>33</v>
      </c>
      <c r="G102" s="49">
        <f>G101/4</f>
        <v>0.036193159312299376</v>
      </c>
      <c r="H102" s="21" t="s">
        <v>35</v>
      </c>
      <c r="R102" s="48"/>
      <c r="S102" s="58" t="s">
        <v>31</v>
      </c>
      <c r="T102" s="58">
        <v>0.01</v>
      </c>
      <c r="U102" s="58" t="s">
        <v>23</v>
      </c>
      <c r="V102" s="58">
        <f>$G$42/4</f>
        <v>4.244291674999811</v>
      </c>
      <c r="W102" s="58">
        <f>$G$28+$G$26/2</f>
        <v>0.2</v>
      </c>
      <c r="X102" s="58" t="s">
        <v>22</v>
      </c>
      <c r="Y102" s="58" t="s">
        <v>23</v>
      </c>
      <c r="Z102" s="37">
        <f>V102+$G$27/2</f>
        <v>4.288791674999811</v>
      </c>
      <c r="AA102" s="58">
        <f>W102</f>
        <v>0.2</v>
      </c>
      <c r="AB102" s="58" t="s">
        <v>24</v>
      </c>
    </row>
    <row r="103" spans="7:28" ht="12.75">
      <c r="G103" s="49"/>
      <c r="R103" s="48"/>
      <c r="S103" s="58" t="s">
        <v>31</v>
      </c>
      <c r="T103" s="58">
        <v>0.01</v>
      </c>
      <c r="U103" s="58" t="s">
        <v>23</v>
      </c>
      <c r="V103" s="58">
        <v>0</v>
      </c>
      <c r="W103" s="58">
        <f>$G$28+$G$26/2</f>
        <v>0.2</v>
      </c>
      <c r="X103" s="58" t="s">
        <v>22</v>
      </c>
      <c r="Y103" s="58" t="s">
        <v>23</v>
      </c>
      <c r="Z103" s="37">
        <f>V103+$G$27/2</f>
        <v>0.0445</v>
      </c>
      <c r="AA103" s="58">
        <f>W103</f>
        <v>0.2</v>
      </c>
      <c r="AB103" s="58" t="s">
        <v>24</v>
      </c>
    </row>
    <row r="104" spans="1:28" ht="12.75">
      <c r="A104" s="59" t="s">
        <v>241</v>
      </c>
      <c r="R104" s="48"/>
      <c r="S104" s="58" t="s">
        <v>31</v>
      </c>
      <c r="T104" s="58">
        <v>0.01</v>
      </c>
      <c r="U104" s="58" t="s">
        <v>23</v>
      </c>
      <c r="V104" s="58">
        <f>-$G$42/4</f>
        <v>-4.244291674999811</v>
      </c>
      <c r="W104" s="58">
        <f>$G$28+$G$26/2</f>
        <v>0.2</v>
      </c>
      <c r="X104" s="58" t="s">
        <v>22</v>
      </c>
      <c r="Y104" s="58" t="s">
        <v>23</v>
      </c>
      <c r="Z104" s="37">
        <f>V104+$G$27/2</f>
        <v>-4.199791674999811</v>
      </c>
      <c r="AA104" s="58">
        <f>W104</f>
        <v>0.2</v>
      </c>
      <c r="AB104" s="58" t="s">
        <v>24</v>
      </c>
    </row>
    <row r="105" spans="18:28" ht="12.75">
      <c r="R105" s="48"/>
      <c r="S105" s="58" t="s">
        <v>31</v>
      </c>
      <c r="T105" s="58">
        <v>0.01</v>
      </c>
      <c r="U105" s="58" t="s">
        <v>23</v>
      </c>
      <c r="V105" s="58">
        <f>-$G$42/2+($G$28+$G$26/2)</f>
        <v>-8.288583349999623</v>
      </c>
      <c r="W105" s="58">
        <f>$G$28+$G$26/2</f>
        <v>0.2</v>
      </c>
      <c r="X105" s="58" t="s">
        <v>22</v>
      </c>
      <c r="Y105" s="58" t="s">
        <v>23</v>
      </c>
      <c r="Z105" s="37">
        <f>V105+$G$27/2</f>
        <v>-8.244083349999624</v>
      </c>
      <c r="AA105" s="58">
        <f>W105</f>
        <v>0.2</v>
      </c>
      <c r="AB105" s="58" t="s">
        <v>24</v>
      </c>
    </row>
    <row r="106" spans="2:28" ht="12.75">
      <c r="B106" s="1" t="s">
        <v>227</v>
      </c>
      <c r="C106" s="1" t="s">
        <v>33</v>
      </c>
      <c r="D106" s="1" t="s">
        <v>98</v>
      </c>
      <c r="F106" s="1" t="s">
        <v>33</v>
      </c>
      <c r="G106" s="53">
        <f>SQRT(100*$G$44)</f>
        <v>102.91254781804709</v>
      </c>
      <c r="H106" s="21" t="s">
        <v>99</v>
      </c>
      <c r="R106" s="48"/>
      <c r="S106" s="58"/>
      <c r="T106" s="58"/>
      <c r="U106" s="58"/>
      <c r="V106" s="58"/>
      <c r="W106" s="58"/>
      <c r="X106" s="58"/>
      <c r="Y106" s="58"/>
      <c r="Z106" s="58"/>
      <c r="AA106" s="58"/>
      <c r="AB106" s="58"/>
    </row>
    <row r="107" spans="18:28" ht="12.75">
      <c r="R107" s="48"/>
      <c r="S107" s="58" t="s">
        <v>31</v>
      </c>
      <c r="T107" s="58">
        <v>0.01</v>
      </c>
      <c r="U107" s="58" t="s">
        <v>23</v>
      </c>
      <c r="V107" s="58">
        <f>$G$42/2-($G$28+$G$26/2)</f>
        <v>8.288583349999623</v>
      </c>
      <c r="W107" s="19">
        <f>$AA$44-($G$28+$G$26/2)</f>
        <v>4.584671573512043</v>
      </c>
      <c r="X107" s="58" t="s">
        <v>22</v>
      </c>
      <c r="Y107" s="58" t="s">
        <v>23</v>
      </c>
      <c r="Z107" s="37">
        <f>V107+$G$27/2</f>
        <v>8.333083349999622</v>
      </c>
      <c r="AA107" s="58">
        <f>W107</f>
        <v>4.584671573512043</v>
      </c>
      <c r="AB107" s="58" t="s">
        <v>24</v>
      </c>
    </row>
    <row r="108" spans="2:28" ht="12.75">
      <c r="B108" s="1" t="s">
        <v>78</v>
      </c>
      <c r="C108" s="1" t="s">
        <v>33</v>
      </c>
      <c r="D108" s="1" t="s">
        <v>79</v>
      </c>
      <c r="F108" s="1" t="s">
        <v>33</v>
      </c>
      <c r="G108" s="53">
        <f>377*PI()/(2*G106*SQRT($G$12))</f>
        <v>3.878970012811898</v>
      </c>
      <c r="I108" s="1" t="s">
        <v>80</v>
      </c>
      <c r="K108" s="1">
        <f>2/PI()*(G108-1-LN(2*G108-1)+($G$12-1)/(2*$G$12)*(LN(G108-1)+0.39-0.61/$G$12))</f>
        <v>0.8196408606693729</v>
      </c>
      <c r="R108" s="48"/>
      <c r="S108" s="58" t="s">
        <v>31</v>
      </c>
      <c r="T108" s="58">
        <v>0.01</v>
      </c>
      <c r="U108" s="58" t="s">
        <v>23</v>
      </c>
      <c r="V108" s="58">
        <f>$G$42/4</f>
        <v>4.244291674999811</v>
      </c>
      <c r="W108" s="19">
        <f>$AA$44-($G$28+$G$26/2)</f>
        <v>4.584671573512043</v>
      </c>
      <c r="X108" s="58" t="s">
        <v>22</v>
      </c>
      <c r="Y108" s="58" t="s">
        <v>23</v>
      </c>
      <c r="Z108" s="37">
        <f>V108+$G$27/2</f>
        <v>4.288791674999811</v>
      </c>
      <c r="AA108" s="58">
        <f>W108</f>
        <v>4.584671573512043</v>
      </c>
      <c r="AB108" s="58" t="s">
        <v>24</v>
      </c>
    </row>
    <row r="109" spans="2:28" ht="12.75">
      <c r="B109" s="1" t="s">
        <v>63</v>
      </c>
      <c r="C109" s="1" t="s">
        <v>33</v>
      </c>
      <c r="D109" s="1" t="s">
        <v>50</v>
      </c>
      <c r="F109" s="1" t="s">
        <v>33</v>
      </c>
      <c r="G109" s="53">
        <f>G106/60*SQRT(($G$12+1)/2)+($G$12-1)/($G$12+1)*(0.23+0.11/$G$12)</f>
        <v>2.2748411942930504</v>
      </c>
      <c r="I109" s="1" t="s">
        <v>52</v>
      </c>
      <c r="K109" s="1">
        <f>8*EXP(G109)/(EXP(2*G109)-2)</f>
        <v>0.8402701293614347</v>
      </c>
      <c r="R109" s="48"/>
      <c r="S109" s="58" t="s">
        <v>31</v>
      </c>
      <c r="T109" s="58">
        <v>0.01</v>
      </c>
      <c r="U109" s="58" t="s">
        <v>23</v>
      </c>
      <c r="V109" s="58">
        <v>0</v>
      </c>
      <c r="W109" s="19">
        <f>$AA$44-($G$28+$G$26/2)</f>
        <v>4.584671573512043</v>
      </c>
      <c r="X109" s="58" t="s">
        <v>22</v>
      </c>
      <c r="Y109" s="58" t="s">
        <v>23</v>
      </c>
      <c r="Z109" s="37">
        <f>V109+$G$27/2</f>
        <v>0.0445</v>
      </c>
      <c r="AA109" s="58">
        <f>W109</f>
        <v>4.584671573512043</v>
      </c>
      <c r="AB109" s="58" t="s">
        <v>24</v>
      </c>
    </row>
    <row r="110" spans="18:28" ht="12.75">
      <c r="R110" s="48"/>
      <c r="S110" s="58" t="s">
        <v>31</v>
      </c>
      <c r="T110" s="58">
        <v>0.01</v>
      </c>
      <c r="U110" s="58" t="s">
        <v>23</v>
      </c>
      <c r="V110" s="58">
        <f>-$G$42/4</f>
        <v>-4.244291674999811</v>
      </c>
      <c r="W110" s="19">
        <f>$AA$44-($G$28+$G$26/2)</f>
        <v>4.584671573512043</v>
      </c>
      <c r="X110" s="58" t="s">
        <v>22</v>
      </c>
      <c r="Y110" s="58" t="s">
        <v>23</v>
      </c>
      <c r="Z110" s="37">
        <f>V110+$G$27/2</f>
        <v>-4.199791674999811</v>
      </c>
      <c r="AA110" s="58">
        <f>W110</f>
        <v>4.584671573512043</v>
      </c>
      <c r="AB110" s="58" t="s">
        <v>24</v>
      </c>
    </row>
    <row r="111" spans="2:28" ht="12.75">
      <c r="B111" s="1" t="s">
        <v>168</v>
      </c>
      <c r="C111" s="1" t="s">
        <v>33</v>
      </c>
      <c r="D111" s="1" t="s">
        <v>169</v>
      </c>
      <c r="F111" s="1" t="s">
        <v>33</v>
      </c>
      <c r="G111" s="49">
        <f>IF(AND(K108&gt;2,K109&gt;2),K108*$G$18,K109*$G$18)</f>
        <v>0.0015366860125761916</v>
      </c>
      <c r="H111" s="21" t="s">
        <v>35</v>
      </c>
      <c r="R111" s="48"/>
      <c r="S111" s="58" t="s">
        <v>31</v>
      </c>
      <c r="T111" s="58">
        <v>0.01</v>
      </c>
      <c r="U111" s="58" t="s">
        <v>23</v>
      </c>
      <c r="V111" s="58">
        <f>-$G$42/2+($G$28+$G$26/2)</f>
        <v>-8.288583349999623</v>
      </c>
      <c r="W111" s="19">
        <f>$AA$44-($G$28+$G$26/2)</f>
        <v>4.584671573512043</v>
      </c>
      <c r="X111" s="58" t="s">
        <v>22</v>
      </c>
      <c r="Y111" s="58" t="s">
        <v>23</v>
      </c>
      <c r="Z111" s="37">
        <f>V111+$G$27/2</f>
        <v>-8.244083349999624</v>
      </c>
      <c r="AA111" s="58">
        <f>W111</f>
        <v>4.584671573512043</v>
      </c>
      <c r="AB111" s="58" t="s">
        <v>24</v>
      </c>
    </row>
    <row r="112" spans="2:28" ht="12.75">
      <c r="B112" s="1" t="s">
        <v>60</v>
      </c>
      <c r="C112" s="1" t="s">
        <v>33</v>
      </c>
      <c r="D112" s="1" t="s">
        <v>61</v>
      </c>
      <c r="F112" s="1" t="s">
        <v>33</v>
      </c>
      <c r="G112" s="52">
        <f>($G$12+1)/2+($G$12-1)/2/SQRT(1+12/(G111/$G$18))</f>
        <v>1.753902137505561</v>
      </c>
      <c r="R112" s="48"/>
      <c r="S112" s="58"/>
      <c r="T112" s="58"/>
      <c r="U112" s="58"/>
      <c r="V112" s="58"/>
      <c r="W112" s="58"/>
      <c r="X112" s="58"/>
      <c r="Y112" s="58"/>
      <c r="Z112" s="58"/>
      <c r="AA112" s="58"/>
      <c r="AB112" s="58"/>
    </row>
    <row r="113" spans="2:28" ht="12.75">
      <c r="B113" s="1" t="s">
        <v>225</v>
      </c>
      <c r="C113" s="1" t="s">
        <v>33</v>
      </c>
      <c r="D113" s="1" t="s">
        <v>90</v>
      </c>
      <c r="F113" s="1" t="s">
        <v>33</v>
      </c>
      <c r="G113" s="49">
        <f>M36/SQRT(G112)</f>
        <v>0.14368838704515768</v>
      </c>
      <c r="H113" s="21" t="s">
        <v>35</v>
      </c>
      <c r="R113" s="48"/>
      <c r="S113" s="58" t="s">
        <v>31</v>
      </c>
      <c r="T113" s="58">
        <v>0.01</v>
      </c>
      <c r="U113" s="58" t="s">
        <v>23</v>
      </c>
      <c r="V113" s="58">
        <f>$G$42/2-($G$28+$G$26/2)</f>
        <v>8.288583349999623</v>
      </c>
      <c r="W113" s="58">
        <f>$V$9+($Z$9-$V$9)/2</f>
        <v>1.8769818173658108</v>
      </c>
      <c r="X113" s="58" t="s">
        <v>22</v>
      </c>
      <c r="Y113" s="58" t="s">
        <v>23</v>
      </c>
      <c r="Z113" s="37">
        <f>V113+$G$27/2</f>
        <v>8.333083349999622</v>
      </c>
      <c r="AA113" s="58">
        <f>W113</f>
        <v>1.8769818173658108</v>
      </c>
      <c r="AB113" s="58" t="s">
        <v>24</v>
      </c>
    </row>
    <row r="114" spans="2:28" ht="12.75">
      <c r="B114" s="1" t="s">
        <v>38</v>
      </c>
      <c r="C114" s="1" t="s">
        <v>33</v>
      </c>
      <c r="D114" s="1" t="s">
        <v>39</v>
      </c>
      <c r="F114" s="1" t="s">
        <v>33</v>
      </c>
      <c r="G114" s="49">
        <f>G113/4</f>
        <v>0.03592209676128942</v>
      </c>
      <c r="H114" s="21" t="s">
        <v>35</v>
      </c>
      <c r="R114" s="48"/>
      <c r="S114" s="58" t="s">
        <v>31</v>
      </c>
      <c r="T114" s="58">
        <v>0.01</v>
      </c>
      <c r="U114" s="58" t="s">
        <v>23</v>
      </c>
      <c r="V114" s="58">
        <f>-$G$42/2+($G$28+$G$26/2)</f>
        <v>-8.288583349999623</v>
      </c>
      <c r="W114" s="58">
        <f>$V$9+($Z$9-$V$9)/2</f>
        <v>1.8769818173658108</v>
      </c>
      <c r="X114" s="58" t="s">
        <v>22</v>
      </c>
      <c r="Y114" s="58" t="s">
        <v>23</v>
      </c>
      <c r="Z114" s="37">
        <f>V114+$G$27/2</f>
        <v>-8.244083349999624</v>
      </c>
      <c r="AA114" s="58">
        <f>W114</f>
        <v>1.8769818173658108</v>
      </c>
      <c r="AB114" s="58" t="s">
        <v>24</v>
      </c>
    </row>
    <row r="115" spans="19:28" ht="12.75">
      <c r="S115" s="58"/>
      <c r="T115" s="58"/>
      <c r="U115" s="58"/>
      <c r="V115" s="58"/>
      <c r="W115" s="58"/>
      <c r="X115" s="58"/>
      <c r="Y115" s="58"/>
      <c r="Z115" s="58"/>
      <c r="AA115" s="58"/>
      <c r="AB115" s="58"/>
    </row>
    <row r="116" spans="1:28" ht="12.75">
      <c r="A116" s="8"/>
      <c r="B116" s="8" t="s">
        <v>101</v>
      </c>
      <c r="C116" s="8"/>
      <c r="D116" s="8"/>
      <c r="E116" s="8"/>
      <c r="F116" s="8"/>
      <c r="G116" s="8"/>
      <c r="H116" s="16"/>
      <c r="I116" s="8"/>
      <c r="J116" s="8"/>
      <c r="K116" s="8"/>
      <c r="L116" s="8"/>
      <c r="M116" s="8"/>
      <c r="N116" s="8"/>
      <c r="O116" s="8"/>
      <c r="P116" s="8"/>
      <c r="R116" s="48" t="s">
        <v>91</v>
      </c>
      <c r="S116" s="23" t="s">
        <v>92</v>
      </c>
      <c r="T116" s="58"/>
      <c r="U116" s="58"/>
      <c r="V116" s="58"/>
      <c r="W116" s="58"/>
      <c r="X116" s="58"/>
      <c r="Y116" s="58"/>
      <c r="Z116" s="58"/>
      <c r="AA116" s="58"/>
      <c r="AB116" s="58"/>
    </row>
    <row r="117" spans="18:28" ht="12.75">
      <c r="R117" s="48"/>
      <c r="S117" s="23" t="s">
        <v>120</v>
      </c>
      <c r="T117" s="58"/>
      <c r="U117" s="58"/>
      <c r="V117" s="58"/>
      <c r="W117" s="58"/>
      <c r="X117" s="58"/>
      <c r="Y117" s="58"/>
      <c r="Z117" s="58"/>
      <c r="AA117" s="58"/>
      <c r="AB117" s="58"/>
    </row>
    <row r="118" spans="2:28" ht="12.75">
      <c r="B118" s="9">
        <f>B124*B121/(2*B120*SQRT(B119))</f>
        <v>0.06182267632218319</v>
      </c>
      <c r="D118" s="9" t="s">
        <v>161</v>
      </c>
      <c r="R118" s="48"/>
      <c r="S118" s="58" t="s">
        <v>153</v>
      </c>
      <c r="T118" s="58" t="s">
        <v>23</v>
      </c>
      <c r="U118" s="58">
        <v>0</v>
      </c>
      <c r="V118" s="58">
        <f>-1*$W$44</f>
        <v>-4.7846715735120435</v>
      </c>
      <c r="W118" s="58" t="s">
        <v>24</v>
      </c>
      <c r="X118" s="58"/>
      <c r="Y118" s="58"/>
      <c r="Z118" s="58"/>
      <c r="AA118" s="58"/>
      <c r="AB118" s="58"/>
    </row>
    <row r="119" spans="2:28" ht="12.75">
      <c r="B119" s="9">
        <f>$G$12</f>
        <v>2.20066</v>
      </c>
      <c r="D119" s="9" t="s">
        <v>192</v>
      </c>
      <c r="S119" s="58"/>
      <c r="T119" s="58"/>
      <c r="U119" s="58"/>
      <c r="V119" s="58"/>
      <c r="W119" s="58"/>
      <c r="X119" s="58"/>
      <c r="Y119" s="58"/>
      <c r="Z119" s="58"/>
      <c r="AA119" s="58"/>
      <c r="AB119" s="58"/>
    </row>
    <row r="120" spans="2:28" ht="12.75">
      <c r="B120" s="9">
        <f>PI()</f>
        <v>3.141592653589793</v>
      </c>
      <c r="D120" s="9" t="s">
        <v>219</v>
      </c>
      <c r="R120" s="48" t="s">
        <v>209</v>
      </c>
      <c r="S120" s="58" t="s">
        <v>181</v>
      </c>
      <c r="T120" s="58"/>
      <c r="U120" s="58"/>
      <c r="V120" s="58"/>
      <c r="W120" s="58"/>
      <c r="X120" s="58"/>
      <c r="Y120" s="58"/>
      <c r="Z120" s="58"/>
      <c r="AA120" s="58"/>
      <c r="AB120" s="58"/>
    </row>
    <row r="121" spans="2:28" ht="12.75">
      <c r="B121" s="9">
        <f>B122/B123</f>
        <v>0.19029367279836487</v>
      </c>
      <c r="D121" s="9" t="s">
        <v>29</v>
      </c>
      <c r="R121" s="48"/>
      <c r="S121" s="23" t="s">
        <v>228</v>
      </c>
      <c r="T121" s="58"/>
      <c r="U121" s="58"/>
      <c r="V121" s="58"/>
      <c r="W121" s="58"/>
      <c r="X121" s="58"/>
      <c r="Y121" s="58"/>
      <c r="Z121" s="58"/>
      <c r="AA121" s="58"/>
      <c r="AB121" s="58"/>
    </row>
    <row r="122" spans="2:4" ht="12.75">
      <c r="B122" s="9">
        <v>299792458</v>
      </c>
      <c r="D122" s="9" t="s">
        <v>68</v>
      </c>
    </row>
    <row r="123" spans="2:4" ht="12.75">
      <c r="B123" s="83">
        <f>$G$13</f>
        <v>1575420000</v>
      </c>
      <c r="D123" s="9" t="s">
        <v>97</v>
      </c>
    </row>
    <row r="124" spans="2:4" ht="12.75">
      <c r="B124" s="9">
        <f>ACOS((B129*B129+B125*B125-1/(B131*B131))/SQRT((B129*B129+B125*B125)^2+1/B131^4+2*(B129-B125)*(B129+B125)/(B131*B131)))</f>
        <v>3.028166820977658</v>
      </c>
      <c r="D124" s="9" t="s">
        <v>128</v>
      </c>
    </row>
    <row r="125" spans="2:4" ht="12.75">
      <c r="B125" s="9">
        <f>B126/(120*B121)</f>
        <v>0.018632371537383723</v>
      </c>
      <c r="D125" s="9" t="s">
        <v>154</v>
      </c>
    </row>
    <row r="126" spans="2:4" ht="12.75">
      <c r="B126" s="9">
        <f>B120*(B127+B128)</f>
        <v>0.4254746895350957</v>
      </c>
      <c r="D126" s="9" t="s">
        <v>184</v>
      </c>
    </row>
    <row r="127" spans="2:4" ht="12.75">
      <c r="B127" s="33">
        <f>$G$16</f>
        <v>0.13335</v>
      </c>
      <c r="D127" s="9" t="s">
        <v>215</v>
      </c>
    </row>
    <row r="128" spans="2:4" ht="12.75">
      <c r="B128" s="38">
        <f>$G$17+$G$18+$G$20</f>
        <v>0.0020827999999999997</v>
      </c>
      <c r="D128" s="9" t="s">
        <v>234</v>
      </c>
    </row>
    <row r="129" spans="2:4" ht="12.75">
      <c r="B129" s="9">
        <f>B126/(120*B120*B121)*(-0.540754132818691-2*LN(B123*B130/B122))</f>
        <v>0.05188953767562401</v>
      </c>
      <c r="D129" s="9" t="s">
        <v>54</v>
      </c>
    </row>
    <row r="130" spans="2:4" ht="12.75">
      <c r="B130" s="33">
        <f>$G$18</f>
        <v>0.0018287999999999998</v>
      </c>
      <c r="D130" s="9" t="s">
        <v>85</v>
      </c>
    </row>
    <row r="131" spans="2:4" ht="12.75">
      <c r="B131" s="9">
        <f>SQRT(B132/B133)*LN(1+2*B130/B127)/(2*B120)</f>
        <v>1.0936751481280127</v>
      </c>
      <c r="D131" s="9" t="s">
        <v>117</v>
      </c>
    </row>
    <row r="132" spans="2:4" ht="12.75">
      <c r="B132" s="9">
        <f>B134</f>
        <v>1.2566370614359173E-06</v>
      </c>
      <c r="D132" s="9" t="s">
        <v>151</v>
      </c>
    </row>
    <row r="133" spans="2:4" ht="12.75">
      <c r="B133" s="9">
        <f>B119/(B134*B122*B122)</f>
        <v>1.9485056962724487E-11</v>
      </c>
      <c r="D133" s="9" t="s">
        <v>174</v>
      </c>
    </row>
    <row r="134" spans="2:4" ht="12.75">
      <c r="B134" s="9">
        <f>B120/2500000</f>
        <v>1.2566370614359173E-06</v>
      </c>
      <c r="D134" s="9" t="s">
        <v>206</v>
      </c>
    </row>
    <row r="138" ht="12.75"/>
    <row r="139" ht="12.75"/>
    <row r="140" ht="12.75"/>
  </sheetData>
  <sheetProtection/>
  <mergeCells count="1">
    <mergeCell ref="S4:AB4"/>
  </mergeCells>
  <printOptions/>
  <pageMargins left="0.75" right="0.75" top="1" bottom="1" header="0.5" footer="0.5"/>
  <pageSetup fitToHeight="0" fitToWidth="0" horizontalDpi="600" verticalDpi="600" orientation="landscape" paperSize="9"/>
  <headerFooter alignWithMargins="0">
    <oddHeader>&amp;L&amp;C&amp;[TAB]&amp;R</oddHeader>
    <oddFooter>&amp;L&amp;CPage &amp;[PAGE]&amp;R</oddFooter>
  </headerFooter>
</worksheet>
</file>

<file path=xl/worksheets/sheet5.xml><?xml version="1.0" encoding="utf-8"?>
<worksheet xmlns="http://schemas.openxmlformats.org/spreadsheetml/2006/main" xmlns:r="http://schemas.openxmlformats.org/officeDocument/2006/relationships">
  <dimension ref="A1:AO134"/>
  <sheetViews>
    <sheetView zoomScaleSheetLayoutView="1" workbookViewId="0" topLeftCell="A1">
      <selection activeCell="Z30" sqref="Z30"/>
    </sheetView>
  </sheetViews>
  <sheetFormatPr defaultColWidth="9.140625" defaultRowHeight="12.75"/>
  <cols>
    <col min="1" max="1" width="2.57421875" style="1" customWidth="1"/>
    <col min="2" max="2" width="12.28125" style="1" customWidth="1"/>
    <col min="3" max="3" width="2.28125" style="1" customWidth="1"/>
    <col min="4" max="4" width="9.140625" style="1" customWidth="1"/>
    <col min="5" max="5" width="12.28125" style="1" customWidth="1"/>
    <col min="6" max="6" width="2.28125" style="1" customWidth="1"/>
    <col min="7" max="7" width="12.00390625" style="1" bestFit="1" customWidth="1"/>
    <col min="8" max="8" width="6.00390625" style="21" customWidth="1"/>
    <col min="9" max="9" width="9.140625" style="1" customWidth="1"/>
    <col min="10" max="10" width="5.421875" style="1" customWidth="1"/>
    <col min="11" max="11" width="9.140625" style="1" customWidth="1"/>
    <col min="12" max="12" width="3.57421875" style="1" customWidth="1"/>
    <col min="13" max="13" width="12.421875" style="1" bestFit="1" customWidth="1"/>
    <col min="14" max="14" width="4.00390625" style="1" customWidth="1"/>
    <col min="15" max="15" width="9.140625" style="1" customWidth="1"/>
    <col min="16" max="16" width="2.57421875" style="1" customWidth="1"/>
    <col min="17" max="17" width="3.57421875" style="1" customWidth="1"/>
    <col min="18" max="18" width="17.7109375" style="39" bestFit="1" customWidth="1"/>
    <col min="19" max="19" width="10.57421875" style="39" bestFit="1" customWidth="1"/>
    <col min="20" max="25" width="9.140625" style="39" customWidth="1"/>
    <col min="26" max="26" width="9.57421875" style="39" bestFit="1" customWidth="1"/>
    <col min="27" max="27" width="12.00390625" style="39" customWidth="1"/>
    <col min="28" max="41" width="9.140625" style="39" customWidth="1"/>
    <col min="42" max="42" width="9.140625" style="1" customWidth="1"/>
  </cols>
  <sheetData>
    <row r="1" ht="12.75">
      <c r="A1" s="3" t="s">
        <v>0</v>
      </c>
    </row>
    <row r="2" ht="12.75">
      <c r="A2" s="34"/>
    </row>
    <row r="3" spans="2:4" ht="12.75">
      <c r="B3" s="1" t="s">
        <v>93</v>
      </c>
      <c r="C3" s="94"/>
      <c r="D3" s="1" t="s">
        <v>94</v>
      </c>
    </row>
    <row r="4" spans="3:28" ht="12.75">
      <c r="C4" s="11"/>
      <c r="D4" s="1" t="s">
        <v>121</v>
      </c>
      <c r="S4" s="27" t="s">
        <v>125</v>
      </c>
      <c r="T4" s="27"/>
      <c r="U4" s="27"/>
      <c r="V4" s="27"/>
      <c r="W4" s="27"/>
      <c r="X4" s="27"/>
      <c r="Y4" s="27"/>
      <c r="Z4" s="27"/>
      <c r="AA4" s="27"/>
      <c r="AB4" s="27"/>
    </row>
    <row r="5" spans="1:27" ht="12.75">
      <c r="A5" s="34"/>
      <c r="S5" s="47"/>
      <c r="T5" s="47"/>
      <c r="U5" s="47"/>
      <c r="V5" s="47"/>
      <c r="W5" s="47"/>
      <c r="X5" s="47"/>
      <c r="Y5" s="47"/>
      <c r="Z5" s="47"/>
      <c r="AA5" s="47"/>
    </row>
    <row r="6" spans="1:28" ht="12.75">
      <c r="A6" s="8" t="s">
        <v>177</v>
      </c>
      <c r="B6" s="8"/>
      <c r="C6" s="8"/>
      <c r="D6" s="8"/>
      <c r="E6" s="8"/>
      <c r="F6" s="8"/>
      <c r="G6" s="8"/>
      <c r="H6" s="16"/>
      <c r="I6" s="8"/>
      <c r="J6" s="8"/>
      <c r="K6" s="8"/>
      <c r="L6" s="8"/>
      <c r="M6" s="8"/>
      <c r="N6" s="8"/>
      <c r="O6" s="8"/>
      <c r="P6" s="8"/>
      <c r="R6" s="48" t="s">
        <v>180</v>
      </c>
      <c r="S6" s="23" t="s">
        <v>181</v>
      </c>
      <c r="T6" s="58"/>
      <c r="U6" s="58"/>
      <c r="V6" s="58"/>
      <c r="W6" s="58"/>
      <c r="X6" s="58"/>
      <c r="Y6" s="58"/>
      <c r="Z6" s="58"/>
      <c r="AA6" s="58"/>
      <c r="AB6" s="58"/>
    </row>
    <row r="7" spans="18:28" ht="12.75">
      <c r="R7" s="48"/>
      <c r="S7" s="23" t="s">
        <v>210</v>
      </c>
      <c r="T7" s="58"/>
      <c r="U7" s="58"/>
      <c r="V7" s="58"/>
      <c r="W7" s="58"/>
      <c r="X7" s="58"/>
      <c r="Y7" s="58"/>
      <c r="Z7" s="58"/>
      <c r="AA7" s="58"/>
      <c r="AB7" s="58"/>
    </row>
    <row r="8" spans="2:28" ht="12.75">
      <c r="B8" s="1" t="s">
        <v>68</v>
      </c>
      <c r="C8" s="1" t="s">
        <v>33</v>
      </c>
      <c r="D8" s="1" t="s">
        <v>230</v>
      </c>
      <c r="F8" s="1" t="s">
        <v>33</v>
      </c>
      <c r="G8" s="31">
        <v>299792458</v>
      </c>
      <c r="H8" s="21" t="s">
        <v>232</v>
      </c>
      <c r="S8" s="58"/>
      <c r="T8" s="58"/>
      <c r="U8" s="58"/>
      <c r="V8" s="58"/>
      <c r="W8" s="58"/>
      <c r="X8" s="58"/>
      <c r="Y8" s="58"/>
      <c r="Z8" s="58"/>
      <c r="AA8" s="58"/>
      <c r="AB8" s="58"/>
    </row>
    <row r="9" spans="7:28" ht="12.75">
      <c r="G9" s="31"/>
      <c r="R9" s="48" t="s">
        <v>51</v>
      </c>
      <c r="S9" s="58" t="s">
        <v>28</v>
      </c>
      <c r="T9" s="58" t="s">
        <v>23</v>
      </c>
      <c r="U9" s="58">
        <f>-$G$42/2-$G$32</f>
        <v>-8.498583349999622</v>
      </c>
      <c r="V9" s="37">
        <f>$G$22+$G$30</f>
        <v>0.66</v>
      </c>
      <c r="W9" s="58" t="s">
        <v>22</v>
      </c>
      <c r="X9" s="58" t="s">
        <v>23</v>
      </c>
      <c r="Y9" s="58">
        <f>$G$42/2+$G$32</f>
        <v>8.498583349999622</v>
      </c>
      <c r="Z9" s="19">
        <f>V9+$G$41</f>
        <v>3.738309199104743</v>
      </c>
      <c r="AA9" s="58" t="s">
        <v>24</v>
      </c>
      <c r="AB9" s="58"/>
    </row>
    <row r="10" spans="1:28" ht="12.75">
      <c r="A10" s="8" t="s">
        <v>82</v>
      </c>
      <c r="B10" s="8"/>
      <c r="C10" s="8"/>
      <c r="D10" s="8"/>
      <c r="E10" s="8"/>
      <c r="F10" s="8"/>
      <c r="G10" s="8"/>
      <c r="H10" s="16"/>
      <c r="I10" s="8"/>
      <c r="J10" s="8"/>
      <c r="K10" s="8"/>
      <c r="L10" s="8"/>
      <c r="M10" s="8"/>
      <c r="N10" s="8"/>
      <c r="O10" s="8"/>
      <c r="P10" s="8"/>
      <c r="S10" s="58"/>
      <c r="T10" s="58"/>
      <c r="U10" s="58"/>
      <c r="V10" s="58"/>
      <c r="W10" s="58"/>
      <c r="X10" s="58"/>
      <c r="Y10" s="58"/>
      <c r="Z10" s="58"/>
      <c r="AA10" s="58"/>
      <c r="AB10" s="58"/>
    </row>
    <row r="11" spans="18:28" ht="12.75">
      <c r="R11" s="48" t="s">
        <v>116</v>
      </c>
      <c r="S11" s="58" t="s">
        <v>28</v>
      </c>
      <c r="T11" s="58" t="s">
        <v>23</v>
      </c>
      <c r="U11" s="58">
        <f>-3*$G$42/16-$G$50/2</f>
        <v>-3.1989683847807258</v>
      </c>
      <c r="V11" s="19">
        <f>$Z$9</f>
        <v>3.738309199104743</v>
      </c>
      <c r="W11" s="58" t="s">
        <v>22</v>
      </c>
      <c r="X11" s="58" t="s">
        <v>23</v>
      </c>
      <c r="Y11" s="58">
        <f>-3*$G$42/16+$G$50/2</f>
        <v>-3.167469127718991</v>
      </c>
      <c r="Z11" s="58">
        <f>$Z$9+$G$22+0.5*MAX($G$49,$G$50)</f>
        <v>4.130565765333402</v>
      </c>
      <c r="AA11" s="58" t="s">
        <v>24</v>
      </c>
      <c r="AB11" s="58"/>
    </row>
    <row r="12" spans="2:28" ht="12.75">
      <c r="B12" s="40" t="s">
        <v>143</v>
      </c>
      <c r="C12" s="40" t="s">
        <v>33</v>
      </c>
      <c r="D12" s="40" t="s">
        <v>144</v>
      </c>
      <c r="E12" s="40"/>
      <c r="F12" s="40" t="s">
        <v>33</v>
      </c>
      <c r="G12" s="88">
        <v>2.20066</v>
      </c>
      <c r="H12" s="56"/>
      <c r="I12" s="40"/>
      <c r="J12" s="40"/>
      <c r="K12" s="40"/>
      <c r="L12" s="40"/>
      <c r="M12" s="40"/>
      <c r="N12" s="40"/>
      <c r="O12" s="40"/>
      <c r="P12" s="40"/>
      <c r="R12" s="48"/>
      <c r="S12" s="58" t="s">
        <v>28</v>
      </c>
      <c r="T12" s="58" t="s">
        <v>23</v>
      </c>
      <c r="U12" s="58">
        <f>-1*$G$42/16-$G$50/2</f>
        <v>-1.07682254728082</v>
      </c>
      <c r="V12" s="19">
        <f>$Z$9</f>
        <v>3.738309199104743</v>
      </c>
      <c r="W12" s="58" t="s">
        <v>22</v>
      </c>
      <c r="X12" s="58" t="s">
        <v>23</v>
      </c>
      <c r="Y12" s="58">
        <f>-1*$G$42/16+$G$50/2</f>
        <v>-1.0453232902190857</v>
      </c>
      <c r="Z12" s="58">
        <f>$Z$9+$G$22+0.5*MAX($G$49,$G$50)</f>
        <v>4.130565765333402</v>
      </c>
      <c r="AA12" s="58" t="s">
        <v>24</v>
      </c>
      <c r="AB12" s="58"/>
    </row>
    <row r="13" spans="2:28" ht="12.75">
      <c r="B13" s="40" t="s">
        <v>170</v>
      </c>
      <c r="C13" s="40" t="s">
        <v>33</v>
      </c>
      <c r="D13" s="40" t="s">
        <v>171</v>
      </c>
      <c r="E13" s="40"/>
      <c r="F13" s="40" t="s">
        <v>33</v>
      </c>
      <c r="G13" s="90">
        <v>1253250000</v>
      </c>
      <c r="H13" s="56" t="s">
        <v>172</v>
      </c>
      <c r="I13" s="40"/>
      <c r="J13" s="40"/>
      <c r="K13" s="40"/>
      <c r="L13" s="40"/>
      <c r="M13" s="40"/>
      <c r="N13" s="40"/>
      <c r="O13" s="40"/>
      <c r="P13" s="40"/>
      <c r="R13" s="48"/>
      <c r="S13" s="58" t="s">
        <v>28</v>
      </c>
      <c r="T13" s="58" t="s">
        <v>23</v>
      </c>
      <c r="U13" s="58">
        <f>1*$G$42/16-$G$50/2</f>
        <v>1.0453232902190857</v>
      </c>
      <c r="V13" s="19">
        <f>$Z$9</f>
        <v>3.738309199104743</v>
      </c>
      <c r="W13" s="58" t="s">
        <v>22</v>
      </c>
      <c r="X13" s="58" t="s">
        <v>23</v>
      </c>
      <c r="Y13" s="58">
        <f>1*$G$42/16+$G$50/2</f>
        <v>1.07682254728082</v>
      </c>
      <c r="Z13" s="58">
        <f>$Z$9+$G$22+0.5*MAX($G$49,$G$50)</f>
        <v>4.130565765333402</v>
      </c>
      <c r="AA13" s="58" t="s">
        <v>24</v>
      </c>
      <c r="AB13" s="58"/>
    </row>
    <row r="14" spans="2:28" ht="12.75">
      <c r="B14" s="40" t="s">
        <v>199</v>
      </c>
      <c r="C14" s="40" t="s">
        <v>33</v>
      </c>
      <c r="D14" s="40" t="s">
        <v>200</v>
      </c>
      <c r="E14" s="40"/>
      <c r="F14" s="40" t="s">
        <v>33</v>
      </c>
      <c r="G14" s="88"/>
      <c r="H14" s="56" t="s">
        <v>99</v>
      </c>
      <c r="I14" s="40" t="s">
        <v>202</v>
      </c>
      <c r="J14" s="40"/>
      <c r="K14" s="40"/>
      <c r="L14" s="40"/>
      <c r="M14" s="40"/>
      <c r="N14" s="40"/>
      <c r="O14" s="40"/>
      <c r="P14" s="40"/>
      <c r="R14" s="48"/>
      <c r="S14" s="58" t="s">
        <v>28</v>
      </c>
      <c r="T14" s="58" t="s">
        <v>23</v>
      </c>
      <c r="U14" s="58">
        <f>3*$G$42/16-$G$50/2</f>
        <v>3.167469127718991</v>
      </c>
      <c r="V14" s="19">
        <f>$Z$9</f>
        <v>3.738309199104743</v>
      </c>
      <c r="W14" s="58" t="s">
        <v>22</v>
      </c>
      <c r="X14" s="58" t="s">
        <v>23</v>
      </c>
      <c r="Y14" s="58">
        <f>3*$G$42/16+$G$50/2</f>
        <v>3.1989683847807258</v>
      </c>
      <c r="Z14" s="58">
        <f>$Z$9+$G$22+0.5*MAX($G$49,$G$50)</f>
        <v>4.130565765333402</v>
      </c>
      <c r="AA14" s="58" t="s">
        <v>24</v>
      </c>
      <c r="AB14" s="58"/>
    </row>
    <row r="15" spans="2:28" ht="12.75">
      <c r="B15" s="40"/>
      <c r="C15" s="40"/>
      <c r="D15" s="40"/>
      <c r="E15" s="40"/>
      <c r="F15" s="40"/>
      <c r="G15" s="25"/>
      <c r="H15" s="56"/>
      <c r="I15" s="40"/>
      <c r="J15" s="40"/>
      <c r="K15" s="40"/>
      <c r="L15" s="40"/>
      <c r="M15" s="40"/>
      <c r="N15" s="40"/>
      <c r="O15" s="40"/>
      <c r="P15" s="40"/>
      <c r="R15" s="48"/>
      <c r="S15" s="58"/>
      <c r="T15" s="58"/>
      <c r="U15" s="58"/>
      <c r="V15" s="58"/>
      <c r="W15" s="58"/>
      <c r="X15" s="58"/>
      <c r="Y15" s="58"/>
      <c r="Z15" s="58"/>
      <c r="AA15" s="58"/>
      <c r="AB15" s="58"/>
    </row>
    <row r="16" spans="2:28" ht="12" customHeight="1">
      <c r="B16" s="40" t="s">
        <v>40</v>
      </c>
      <c r="C16" s="40" t="s">
        <v>33</v>
      </c>
      <c r="D16" s="40" t="s">
        <v>41</v>
      </c>
      <c r="E16" s="40"/>
      <c r="F16" s="40" t="s">
        <v>33</v>
      </c>
      <c r="G16" s="20">
        <f>IF(ISBLANK(I16),IF(ISBLANK(K16),IF(ISBLANK(M16),IF(ISBLANK(O16),"NO VALUE!",O16*0.0254),M16/1000),K16/100),I16)</f>
        <v>0.13335</v>
      </c>
      <c r="H16" s="56" t="s">
        <v>35</v>
      </c>
      <c r="I16" s="86"/>
      <c r="J16" s="40" t="s">
        <v>35</v>
      </c>
      <c r="K16" s="86"/>
      <c r="L16" s="40" t="s">
        <v>43</v>
      </c>
      <c r="M16" s="86"/>
      <c r="N16" s="40" t="s">
        <v>44</v>
      </c>
      <c r="O16" s="97">
        <v>5.25</v>
      </c>
      <c r="P16" s="40" t="s">
        <v>45</v>
      </c>
      <c r="R16" s="48" t="s">
        <v>244</v>
      </c>
      <c r="S16" s="58" t="s">
        <v>28</v>
      </c>
      <c r="T16" s="58" t="s">
        <v>23</v>
      </c>
      <c r="U16" s="58">
        <f>Y11</f>
        <v>-3.167469127718991</v>
      </c>
      <c r="V16" s="19">
        <f>Z11</f>
        <v>4.130565765333402</v>
      </c>
      <c r="W16" s="58" t="s">
        <v>22</v>
      </c>
      <c r="X16" s="58" t="s">
        <v>23</v>
      </c>
      <c r="Y16" s="58">
        <f>U16+(0.5*G42/4-G58)/2-0.09</f>
        <v>-3.090017727465259</v>
      </c>
      <c r="Z16" s="19">
        <f>V16+G50</f>
        <v>4.1620650223951365</v>
      </c>
      <c r="AA16" s="58" t="s">
        <v>24</v>
      </c>
      <c r="AB16" s="58"/>
    </row>
    <row r="17" spans="2:28" ht="12.75">
      <c r="B17" s="40" t="s">
        <v>76</v>
      </c>
      <c r="C17" s="40" t="s">
        <v>33</v>
      </c>
      <c r="D17" s="40" t="s">
        <v>77</v>
      </c>
      <c r="E17" s="40"/>
      <c r="F17" s="40" t="s">
        <v>33</v>
      </c>
      <c r="G17" s="20">
        <f>IF(ISBLANK(I17),IF(ISBLANK(K17),IF(ISBLANK(M17),IF(ISBLANK(O17),"NO VALUE!",O17*0.0254),M17/1000),K17/100),I17)</f>
        <v>0.000127</v>
      </c>
      <c r="H17" s="56" t="s">
        <v>35</v>
      </c>
      <c r="I17" s="89"/>
      <c r="J17" s="40" t="s">
        <v>35</v>
      </c>
      <c r="K17" s="89"/>
      <c r="L17" s="40" t="s">
        <v>43</v>
      </c>
      <c r="M17" s="89"/>
      <c r="N17" s="40" t="s">
        <v>44</v>
      </c>
      <c r="O17" s="87">
        <v>0.005</v>
      </c>
      <c r="P17" s="40" t="s">
        <v>45</v>
      </c>
      <c r="R17" s="48"/>
      <c r="S17" s="58" t="s">
        <v>28</v>
      </c>
      <c r="T17" s="58" t="s">
        <v>23</v>
      </c>
      <c r="U17" s="58">
        <f>U12</f>
        <v>-1.07682254728082</v>
      </c>
      <c r="V17" s="19">
        <f>Z12</f>
        <v>4.130565765333402</v>
      </c>
      <c r="W17" s="58" t="s">
        <v>22</v>
      </c>
      <c r="X17" s="58" t="s">
        <v>23</v>
      </c>
      <c r="Y17" s="58">
        <f>U17-(0.5*G42/4-G58)/2+0.09</f>
        <v>-1.1542739475345516</v>
      </c>
      <c r="Z17" s="19">
        <f>V17+G50</f>
        <v>4.1620650223951365</v>
      </c>
      <c r="AA17" s="58" t="s">
        <v>24</v>
      </c>
      <c r="AB17" s="58"/>
    </row>
    <row r="18" spans="2:28" ht="12.75">
      <c r="B18" s="40" t="s">
        <v>102</v>
      </c>
      <c r="C18" s="40" t="s">
        <v>33</v>
      </c>
      <c r="D18" s="40" t="s">
        <v>103</v>
      </c>
      <c r="E18" s="40"/>
      <c r="F18" s="40" t="s">
        <v>33</v>
      </c>
      <c r="G18" s="20">
        <f>IF(ISBLANK(I18),IF(ISBLANK(K18),IF(ISBLANK(M18),IF(ISBLANK(O18),"NO VALUE!",O18*0.0254),M18/1000),K18/100),I18)</f>
        <v>0.0018287999999999998</v>
      </c>
      <c r="H18" s="56" t="s">
        <v>35</v>
      </c>
      <c r="I18" s="89"/>
      <c r="J18" s="40" t="s">
        <v>35</v>
      </c>
      <c r="K18" s="89"/>
      <c r="L18" s="40" t="s">
        <v>43</v>
      </c>
      <c r="M18" s="89"/>
      <c r="N18" s="40" t="s">
        <v>44</v>
      </c>
      <c r="O18" s="89">
        <v>0.072</v>
      </c>
      <c r="P18" s="40" t="s">
        <v>45</v>
      </c>
      <c r="R18" s="48"/>
      <c r="S18" s="58" t="s">
        <v>28</v>
      </c>
      <c r="T18" s="58" t="s">
        <v>23</v>
      </c>
      <c r="U18" s="58">
        <f>Y13</f>
        <v>1.07682254728082</v>
      </c>
      <c r="V18" s="19">
        <f>Z13</f>
        <v>4.130565765333402</v>
      </c>
      <c r="W18" s="58" t="s">
        <v>22</v>
      </c>
      <c r="X18" s="58" t="s">
        <v>23</v>
      </c>
      <c r="Y18" s="58">
        <f>U18+(0.5*G42/4-G58)/2-0.09</f>
        <v>1.1542739475345516</v>
      </c>
      <c r="Z18" s="19">
        <f>V18+G50</f>
        <v>4.1620650223951365</v>
      </c>
      <c r="AA18" s="58" t="s">
        <v>24</v>
      </c>
      <c r="AB18" s="58"/>
    </row>
    <row r="19" spans="2:28" ht="12.75">
      <c r="B19" s="40" t="s">
        <v>136</v>
      </c>
      <c r="C19" s="40"/>
      <c r="D19" s="40" t="s">
        <v>137</v>
      </c>
      <c r="E19" s="40"/>
      <c r="F19" s="40" t="s">
        <v>33</v>
      </c>
      <c r="G19" s="20">
        <f>IF(ISBLANK(I19),IF(ISBLANK(K19),IF(ISBLANK(M19),IF(ISBLANK(O19),"NO VALUE!",O19*0.0254),M19/1000),K19/100),I19)</f>
        <v>1.7525999999999998E-05</v>
      </c>
      <c r="H19" s="56" t="s">
        <v>35</v>
      </c>
      <c r="I19" s="89"/>
      <c r="J19" s="40" t="s">
        <v>35</v>
      </c>
      <c r="K19" s="89"/>
      <c r="L19" s="40" t="s">
        <v>43</v>
      </c>
      <c r="M19" s="89"/>
      <c r="N19" s="40" t="s">
        <v>44</v>
      </c>
      <c r="O19" s="87">
        <v>0.00069</v>
      </c>
      <c r="P19" s="40" t="s">
        <v>45</v>
      </c>
      <c r="R19" s="48"/>
      <c r="S19" s="58" t="s">
        <v>28</v>
      </c>
      <c r="T19" s="58" t="s">
        <v>23</v>
      </c>
      <c r="U19" s="58">
        <f>U14</f>
        <v>3.167469127718991</v>
      </c>
      <c r="V19" s="19">
        <f>Z14</f>
        <v>4.130565765333402</v>
      </c>
      <c r="W19" s="58" t="s">
        <v>22</v>
      </c>
      <c r="X19" s="58" t="s">
        <v>23</v>
      </c>
      <c r="Y19" s="58">
        <f>U19-(0.5*G42/4-G58)/2+0.09</f>
        <v>3.090017727465259</v>
      </c>
      <c r="Z19" s="19">
        <f>V19+G50</f>
        <v>4.1620650223951365</v>
      </c>
      <c r="AA19" s="58" t="s">
        <v>24</v>
      </c>
      <c r="AB19" s="58"/>
    </row>
    <row r="20" spans="2:28" ht="12.75">
      <c r="B20" s="40" t="s">
        <v>162</v>
      </c>
      <c r="C20" s="40" t="s">
        <v>33</v>
      </c>
      <c r="D20" s="40" t="s">
        <v>163</v>
      </c>
      <c r="E20" s="40"/>
      <c r="F20" s="40" t="s">
        <v>33</v>
      </c>
      <c r="G20" s="13">
        <f>IF(ISBLANK(I20),IF(ISBLANK(K20),IF(ISBLANK(M20),IF(ISBLANK(O20),"NO VALUE!",O20*0.0254),M20/1000),K20/100),I20)</f>
        <v>0.000127</v>
      </c>
      <c r="H20" s="56" t="s">
        <v>35</v>
      </c>
      <c r="I20" s="96"/>
      <c r="J20" s="40" t="s">
        <v>35</v>
      </c>
      <c r="K20" s="96"/>
      <c r="L20" s="40" t="s">
        <v>43</v>
      </c>
      <c r="M20" s="96"/>
      <c r="N20" s="40" t="s">
        <v>44</v>
      </c>
      <c r="O20" s="92">
        <v>0.005</v>
      </c>
      <c r="P20" s="40" t="s">
        <v>45</v>
      </c>
      <c r="R20" s="48"/>
      <c r="S20" s="58"/>
      <c r="T20" s="58"/>
      <c r="U20" s="58"/>
      <c r="V20" s="58"/>
      <c r="W20" s="58"/>
      <c r="X20" s="58"/>
      <c r="Y20" s="58"/>
      <c r="Z20" s="58"/>
      <c r="AA20" s="58"/>
      <c r="AB20" s="58"/>
    </row>
    <row r="21" spans="2:28" ht="12.75">
      <c r="B21" s="40"/>
      <c r="C21" s="40"/>
      <c r="D21" s="40"/>
      <c r="E21" s="40"/>
      <c r="F21" s="40"/>
      <c r="G21" s="20"/>
      <c r="H21" s="56"/>
      <c r="I21" s="40"/>
      <c r="J21" s="40"/>
      <c r="K21" s="40"/>
      <c r="L21" s="40"/>
      <c r="M21" s="40"/>
      <c r="N21" s="40"/>
      <c r="O21" s="45"/>
      <c r="P21" s="40"/>
      <c r="R21" s="48" t="s">
        <v>239</v>
      </c>
      <c r="S21" s="58" t="s">
        <v>28</v>
      </c>
      <c r="T21" s="58" t="s">
        <v>23</v>
      </c>
      <c r="U21" s="58">
        <f>Y16</f>
        <v>-3.090017727465259</v>
      </c>
      <c r="V21" s="58">
        <f>V16+(Z16-V16)/2-$G$57/2</f>
        <v>4.123263851194105</v>
      </c>
      <c r="W21" s="58" t="s">
        <v>22</v>
      </c>
      <c r="X21" s="58" t="s">
        <v>23</v>
      </c>
      <c r="Y21" s="19">
        <f>U21+$G$58</f>
        <v>-1.302774690472817</v>
      </c>
      <c r="Z21" s="58">
        <f>V16+(Z16-V16)/2+$G$57/2</f>
        <v>4.169366936534432</v>
      </c>
      <c r="AA21" s="58" t="s">
        <v>24</v>
      </c>
      <c r="AB21" s="58"/>
    </row>
    <row r="22" spans="2:28" ht="12.75">
      <c r="B22" s="40" t="s">
        <v>220</v>
      </c>
      <c r="C22" s="40" t="s">
        <v>33</v>
      </c>
      <c r="D22" s="40" t="s">
        <v>221</v>
      </c>
      <c r="E22" s="40"/>
      <c r="F22" s="40" t="s">
        <v>33</v>
      </c>
      <c r="G22" s="20">
        <f>IF(ISBLANK(I22),IF(ISBLANK(K22),IF(ISBLANK(M22),IF(ISBLANK(O22),"NO VALUE!",O22),M22*25.4),K22*2.54),I22*G18/0.0254)</f>
        <v>0.36</v>
      </c>
      <c r="H22" s="56" t="s">
        <v>45</v>
      </c>
      <c r="I22" s="88">
        <v>5</v>
      </c>
      <c r="J22" s="40" t="s">
        <v>223</v>
      </c>
      <c r="K22" s="88"/>
      <c r="L22" s="40" t="s">
        <v>43</v>
      </c>
      <c r="M22" s="88"/>
      <c r="N22" s="40" t="s">
        <v>44</v>
      </c>
      <c r="O22" s="95"/>
      <c r="P22" s="40" t="s">
        <v>45</v>
      </c>
      <c r="R22" s="48"/>
      <c r="S22" s="58" t="s">
        <v>28</v>
      </c>
      <c r="T22" s="58" t="s">
        <v>23</v>
      </c>
      <c r="U22" s="19">
        <f>Y22-$G$58</f>
        <v>-2.9415169845269937</v>
      </c>
      <c r="V22" s="58">
        <f>V17+(Z17-V17)/2-$G$57/2</f>
        <v>4.123263851194105</v>
      </c>
      <c r="W22" s="58" t="s">
        <v>22</v>
      </c>
      <c r="X22" s="58" t="s">
        <v>23</v>
      </c>
      <c r="Y22" s="58">
        <f>Y17</f>
        <v>-1.1542739475345516</v>
      </c>
      <c r="Z22" s="58">
        <f>V17+(Z17-V17)/2+$G$57/2</f>
        <v>4.169366936534432</v>
      </c>
      <c r="AA22" s="58" t="s">
        <v>24</v>
      </c>
      <c r="AB22" s="58"/>
    </row>
    <row r="23" spans="2:28" ht="12.75">
      <c r="B23" s="40"/>
      <c r="C23" s="40"/>
      <c r="D23" s="40"/>
      <c r="E23" s="40"/>
      <c r="F23" s="40"/>
      <c r="G23" s="20"/>
      <c r="H23" s="56"/>
      <c r="I23" s="40"/>
      <c r="J23" s="40"/>
      <c r="K23" s="40"/>
      <c r="L23" s="40"/>
      <c r="M23" s="40"/>
      <c r="N23" s="40"/>
      <c r="O23" s="45"/>
      <c r="P23" s="40"/>
      <c r="R23" s="48"/>
      <c r="S23" s="58" t="s">
        <v>28</v>
      </c>
      <c r="T23" s="58" t="s">
        <v>23</v>
      </c>
      <c r="U23" s="58">
        <f>Y18</f>
        <v>1.1542739475345516</v>
      </c>
      <c r="V23" s="58">
        <f>V18+(Z18-V18)/2-$G$57/2</f>
        <v>4.123263851194105</v>
      </c>
      <c r="W23" s="58" t="s">
        <v>22</v>
      </c>
      <c r="X23" s="58" t="s">
        <v>23</v>
      </c>
      <c r="Y23" s="19">
        <f>U23+$G$58</f>
        <v>2.9415169845269937</v>
      </c>
      <c r="Z23" s="58">
        <f>V18+(Z18-V18)/2+$G$57/2</f>
        <v>4.169366936534432</v>
      </c>
      <c r="AA23" s="58" t="s">
        <v>24</v>
      </c>
      <c r="AB23" s="58"/>
    </row>
    <row r="24" spans="2:28" ht="12.75">
      <c r="B24" s="40" t="s">
        <v>69</v>
      </c>
      <c r="C24" s="40" t="s">
        <v>33</v>
      </c>
      <c r="D24" s="40" t="s">
        <v>70</v>
      </c>
      <c r="E24" s="40"/>
      <c r="F24" s="40" t="s">
        <v>33</v>
      </c>
      <c r="G24" s="91">
        <v>0.05</v>
      </c>
      <c r="H24" s="56" t="s">
        <v>58</v>
      </c>
      <c r="I24" s="40" t="s">
        <v>72</v>
      </c>
      <c r="J24" s="40"/>
      <c r="K24" s="40"/>
      <c r="L24" s="40"/>
      <c r="M24" s="40"/>
      <c r="N24" s="40"/>
      <c r="O24" s="45"/>
      <c r="P24" s="40"/>
      <c r="R24" s="48"/>
      <c r="S24" s="58" t="s">
        <v>28</v>
      </c>
      <c r="T24" s="58" t="s">
        <v>23</v>
      </c>
      <c r="U24" s="19">
        <f>Y24-$G$58</f>
        <v>1.302774690472817</v>
      </c>
      <c r="V24" s="58">
        <f>V19+(Z19-V19)/2-$G$57/2</f>
        <v>4.123263851194105</v>
      </c>
      <c r="W24" s="58" t="s">
        <v>22</v>
      </c>
      <c r="X24" s="58" t="s">
        <v>23</v>
      </c>
      <c r="Y24" s="58">
        <f>Y19</f>
        <v>3.090017727465259</v>
      </c>
      <c r="Z24" s="58">
        <f>V19+(Z19-V19)/2+$G$57/2</f>
        <v>4.169366936534432</v>
      </c>
      <c r="AA24" s="58" t="s">
        <v>24</v>
      </c>
      <c r="AB24" s="58"/>
    </row>
    <row r="25" spans="2:28" ht="12.75">
      <c r="B25" s="40"/>
      <c r="C25" s="40"/>
      <c r="D25" s="40"/>
      <c r="E25" s="40"/>
      <c r="F25" s="40"/>
      <c r="G25" s="93"/>
      <c r="H25" s="56"/>
      <c r="I25" s="40"/>
      <c r="J25" s="40"/>
      <c r="K25" s="40"/>
      <c r="L25" s="40"/>
      <c r="M25" s="40"/>
      <c r="N25" s="40"/>
      <c r="O25" s="45"/>
      <c r="P25" s="40"/>
      <c r="R25" s="48"/>
      <c r="S25" s="58"/>
      <c r="T25" s="58"/>
      <c r="U25" s="58"/>
      <c r="V25" s="58"/>
      <c r="W25" s="58"/>
      <c r="X25" s="58"/>
      <c r="Y25" s="58"/>
      <c r="Z25" s="58"/>
      <c r="AA25" s="58"/>
      <c r="AB25" s="58"/>
    </row>
    <row r="26" spans="2:28" ht="12.75">
      <c r="B26" s="40" t="s">
        <v>130</v>
      </c>
      <c r="C26" s="40" t="s">
        <v>33</v>
      </c>
      <c r="D26" s="40" t="s">
        <v>131</v>
      </c>
      <c r="E26" s="40"/>
      <c r="F26" s="40" t="s">
        <v>33</v>
      </c>
      <c r="G26" s="91">
        <v>0.2</v>
      </c>
      <c r="H26" s="56" t="s">
        <v>58</v>
      </c>
      <c r="I26" s="40" t="s">
        <v>133</v>
      </c>
      <c r="J26" s="40"/>
      <c r="K26" s="40"/>
      <c r="L26" s="40"/>
      <c r="M26" s="40"/>
      <c r="N26" s="40"/>
      <c r="O26" s="45"/>
      <c r="P26" s="40"/>
      <c r="R26" s="48" t="s">
        <v>46</v>
      </c>
      <c r="S26" s="58" t="s">
        <v>28</v>
      </c>
      <c r="T26" s="58" t="s">
        <v>23</v>
      </c>
      <c r="U26" s="19">
        <f>Y21</f>
        <v>-1.302774690472817</v>
      </c>
      <c r="V26" s="58">
        <f>V16+(Z16-V16)/2-$G$49/2</f>
        <v>4.11405882763561</v>
      </c>
      <c r="W26" s="58" t="s">
        <v>22</v>
      </c>
      <c r="X26" s="58" t="s">
        <v>23</v>
      </c>
      <c r="Y26" s="19">
        <f>U22</f>
        <v>-2.9415169845269937</v>
      </c>
      <c r="Z26" s="58">
        <f>V16+(Z16-V16)/2+$G$49/2</f>
        <v>4.178571960092928</v>
      </c>
      <c r="AA26" s="58" t="s">
        <v>24</v>
      </c>
      <c r="AB26" s="58"/>
    </row>
    <row r="27" spans="2:28" ht="12.75">
      <c r="B27" s="40" t="s">
        <v>155</v>
      </c>
      <c r="C27" s="40" t="s">
        <v>33</v>
      </c>
      <c r="D27" s="40" t="s">
        <v>156</v>
      </c>
      <c r="E27" s="40"/>
      <c r="F27" s="40" t="s">
        <v>33</v>
      </c>
      <c r="G27" s="91">
        <v>0.089</v>
      </c>
      <c r="H27" s="56" t="s">
        <v>58</v>
      </c>
      <c r="I27" s="40" t="s">
        <v>157</v>
      </c>
      <c r="J27" s="40"/>
      <c r="K27" s="40"/>
      <c r="L27" s="40"/>
      <c r="M27" s="40"/>
      <c r="N27" s="40"/>
      <c r="O27" s="45"/>
      <c r="P27" s="40"/>
      <c r="R27" s="48"/>
      <c r="S27" s="58" t="s">
        <v>28</v>
      </c>
      <c r="T27" s="58" t="s">
        <v>23</v>
      </c>
      <c r="U27" s="19">
        <f>Y23</f>
        <v>2.9415169845269937</v>
      </c>
      <c r="V27" s="58">
        <f>V17+(Z17-V17)/2-$G$49/2</f>
        <v>4.11405882763561</v>
      </c>
      <c r="W27" s="58" t="s">
        <v>22</v>
      </c>
      <c r="X27" s="58" t="s">
        <v>23</v>
      </c>
      <c r="Y27" s="19">
        <f>U24</f>
        <v>1.302774690472817</v>
      </c>
      <c r="Z27" s="58">
        <f>V17+(Z17-V17)/2+$G$49/2</f>
        <v>4.178571960092928</v>
      </c>
      <c r="AA27" s="58" t="s">
        <v>24</v>
      </c>
      <c r="AB27" s="58"/>
    </row>
    <row r="28" spans="2:28" ht="12.75">
      <c r="B28" s="40" t="s">
        <v>185</v>
      </c>
      <c r="C28" s="40" t="s">
        <v>33</v>
      </c>
      <c r="D28" s="40" t="s">
        <v>186</v>
      </c>
      <c r="E28" s="40"/>
      <c r="F28" s="40" t="s">
        <v>33</v>
      </c>
      <c r="G28" s="91">
        <f>G26/2</f>
        <v>0.1</v>
      </c>
      <c r="H28" s="56" t="s">
        <v>58</v>
      </c>
      <c r="I28" s="40"/>
      <c r="J28" s="40"/>
      <c r="K28" s="40"/>
      <c r="L28" s="40"/>
      <c r="M28" s="40"/>
      <c r="N28" s="40"/>
      <c r="O28" s="45"/>
      <c r="P28" s="40"/>
      <c r="S28" s="58"/>
      <c r="T28" s="58"/>
      <c r="U28" s="58"/>
      <c r="V28" s="58"/>
      <c r="W28" s="58"/>
      <c r="X28" s="58"/>
      <c r="Y28" s="58"/>
      <c r="Z28" s="58"/>
      <c r="AA28" s="58"/>
      <c r="AB28" s="58"/>
    </row>
    <row r="29" spans="2:28" ht="12.75">
      <c r="B29" s="40"/>
      <c r="C29" s="40"/>
      <c r="D29" s="40"/>
      <c r="E29" s="40"/>
      <c r="F29" s="40"/>
      <c r="G29" s="20"/>
      <c r="H29" s="56"/>
      <c r="I29" s="40"/>
      <c r="J29" s="40"/>
      <c r="K29" s="40"/>
      <c r="L29" s="40"/>
      <c r="M29" s="40"/>
      <c r="N29" s="40"/>
      <c r="O29" s="45"/>
      <c r="P29" s="40"/>
      <c r="R29" s="48" t="s">
        <v>238</v>
      </c>
      <c r="S29" s="58" t="s">
        <v>28</v>
      </c>
      <c r="T29" s="58" t="s">
        <v>23</v>
      </c>
      <c r="U29" s="19">
        <f>-$G$42/4-$G$48/2</f>
        <v>-4.355192801990232</v>
      </c>
      <c r="V29" s="58">
        <f>Z26</f>
        <v>4.178571960092928</v>
      </c>
      <c r="W29" s="58" t="s">
        <v>22</v>
      </c>
      <c r="X29" s="58" t="s">
        <v>23</v>
      </c>
      <c r="Y29" s="19">
        <f>-$G$42/4+$G$48/2</f>
        <v>-4.13339054800939</v>
      </c>
      <c r="Z29" s="58">
        <f>Z17+5*$O$18</f>
        <v>4.522065022395137</v>
      </c>
      <c r="AA29" s="58" t="s">
        <v>24</v>
      </c>
      <c r="AB29" s="58"/>
    </row>
    <row r="30" spans="2:28" ht="12.75">
      <c r="B30" s="40" t="s">
        <v>235</v>
      </c>
      <c r="C30" s="40" t="s">
        <v>33</v>
      </c>
      <c r="D30" s="40" t="s">
        <v>236</v>
      </c>
      <c r="E30" s="40"/>
      <c r="F30" s="40" t="s">
        <v>33</v>
      </c>
      <c r="G30" s="91">
        <f>G28+G26</f>
        <v>0.30000000000000004</v>
      </c>
      <c r="H30" s="56" t="s">
        <v>58</v>
      </c>
      <c r="I30" s="40" t="s">
        <v>237</v>
      </c>
      <c r="J30" s="40"/>
      <c r="K30" s="40"/>
      <c r="L30" s="40"/>
      <c r="M30" s="40"/>
      <c r="N30" s="40"/>
      <c r="O30" s="45"/>
      <c r="P30" s="40"/>
      <c r="R30" s="48"/>
      <c r="S30" s="58" t="s">
        <v>28</v>
      </c>
      <c r="T30" s="58" t="s">
        <v>23</v>
      </c>
      <c r="U30" s="19">
        <f>$G$42/4-$G$48/2</f>
        <v>4.13339054800939</v>
      </c>
      <c r="V30" s="58">
        <f>Z27</f>
        <v>4.178571960092928</v>
      </c>
      <c r="W30" s="58" t="s">
        <v>22</v>
      </c>
      <c r="X30" s="58" t="s">
        <v>23</v>
      </c>
      <c r="Y30" s="19">
        <f>$G$42/4+$G$48/2</f>
        <v>4.355192801990232</v>
      </c>
      <c r="Z30" s="58">
        <f>Z18+5*$O$18</f>
        <v>4.522065022395137</v>
      </c>
      <c r="AA30" s="58" t="s">
        <v>24</v>
      </c>
      <c r="AB30" s="58"/>
    </row>
    <row r="31" spans="2:28" ht="12.75">
      <c r="B31" s="40" t="s">
        <v>55</v>
      </c>
      <c r="C31" s="40" t="s">
        <v>33</v>
      </c>
      <c r="D31" s="40" t="s">
        <v>56</v>
      </c>
      <c r="E31" s="40"/>
      <c r="F31" s="40" t="s">
        <v>33</v>
      </c>
      <c r="G31" s="91">
        <f>G28+G26</f>
        <v>0.30000000000000004</v>
      </c>
      <c r="H31" s="56" t="s">
        <v>58</v>
      </c>
      <c r="I31" s="40" t="s">
        <v>59</v>
      </c>
      <c r="J31" s="40"/>
      <c r="K31" s="40"/>
      <c r="L31" s="40"/>
      <c r="M31" s="40"/>
      <c r="N31" s="40"/>
      <c r="O31" s="45"/>
      <c r="P31" s="40"/>
      <c r="R31" s="48"/>
      <c r="S31" s="58"/>
      <c r="T31" s="58"/>
      <c r="U31" s="58"/>
      <c r="V31" s="58"/>
      <c r="W31" s="58"/>
      <c r="X31" s="58"/>
      <c r="Y31" s="58"/>
      <c r="Z31" s="58"/>
      <c r="AA31" s="58"/>
      <c r="AB31" s="58"/>
    </row>
    <row r="32" spans="2:28" ht="12.75">
      <c r="B32" s="40" t="s">
        <v>86</v>
      </c>
      <c r="C32" s="40" t="s">
        <v>33</v>
      </c>
      <c r="D32" s="40" t="s">
        <v>87</v>
      </c>
      <c r="E32" s="40"/>
      <c r="F32" s="40" t="s">
        <v>33</v>
      </c>
      <c r="G32" s="91">
        <v>0.01</v>
      </c>
      <c r="H32" s="56" t="s">
        <v>58</v>
      </c>
      <c r="I32" s="40" t="s">
        <v>88</v>
      </c>
      <c r="J32" s="40"/>
      <c r="K32" s="40"/>
      <c r="L32" s="40"/>
      <c r="M32" s="40"/>
      <c r="N32" s="40"/>
      <c r="O32" s="45"/>
      <c r="P32" s="40"/>
      <c r="R32" s="48" t="s">
        <v>36</v>
      </c>
      <c r="S32" s="58" t="s">
        <v>28</v>
      </c>
      <c r="T32" s="58" t="s">
        <v>23</v>
      </c>
      <c r="U32" s="19">
        <f>Y29</f>
        <v>-4.13339054800939</v>
      </c>
      <c r="V32" s="58">
        <f>Z29</f>
        <v>4.522065022395137</v>
      </c>
      <c r="W32" s="58" t="s">
        <v>22</v>
      </c>
      <c r="X32" s="58" t="s">
        <v>23</v>
      </c>
      <c r="Y32" s="19">
        <f>U32+(U30-Y29-2*$G$58)/3</f>
        <v>-2.569292207331425</v>
      </c>
      <c r="Z32" s="19">
        <f>V32+$G$48</f>
        <v>4.74386727637598</v>
      </c>
      <c r="AA32" s="58" t="s">
        <v>24</v>
      </c>
      <c r="AB32" s="58"/>
    </row>
    <row r="33" spans="7:28" ht="12.75">
      <c r="G33" s="31"/>
      <c r="R33" s="48"/>
      <c r="S33" s="58" t="s">
        <v>28</v>
      </c>
      <c r="T33" s="58" t="s">
        <v>23</v>
      </c>
      <c r="U33" s="19">
        <f>U30</f>
        <v>4.13339054800939</v>
      </c>
      <c r="V33" s="58">
        <f>Z30</f>
        <v>4.522065022395137</v>
      </c>
      <c r="W33" s="58" t="s">
        <v>22</v>
      </c>
      <c r="X33" s="58" t="s">
        <v>23</v>
      </c>
      <c r="Y33" s="19">
        <f>U33-(U30-Y29-2*$G$58)/3</f>
        <v>2.569292207331425</v>
      </c>
      <c r="Z33" s="19">
        <f>V33+$G$48</f>
        <v>4.74386727637598</v>
      </c>
      <c r="AA33" s="58" t="s">
        <v>24</v>
      </c>
      <c r="AB33" s="58"/>
    </row>
    <row r="34" spans="1:28" ht="12.75">
      <c r="A34" s="8" t="s">
        <v>152</v>
      </c>
      <c r="B34" s="8"/>
      <c r="C34" s="8"/>
      <c r="D34" s="8"/>
      <c r="E34" s="8"/>
      <c r="F34" s="8"/>
      <c r="G34" s="10"/>
      <c r="H34" s="16"/>
      <c r="I34" s="8"/>
      <c r="J34" s="8"/>
      <c r="K34" s="8"/>
      <c r="L34" s="8"/>
      <c r="M34" s="8"/>
      <c r="N34" s="8"/>
      <c r="O34" s="8"/>
      <c r="P34" s="8"/>
      <c r="R34" s="48"/>
      <c r="S34" s="58"/>
      <c r="T34" s="58"/>
      <c r="U34" s="58"/>
      <c r="V34" s="58"/>
      <c r="W34" s="58"/>
      <c r="X34" s="58"/>
      <c r="Y34" s="58"/>
      <c r="Z34" s="58"/>
      <c r="AA34" s="58"/>
      <c r="AB34" s="58"/>
    </row>
    <row r="35" spans="7:28" ht="12.75">
      <c r="G35" s="31"/>
      <c r="R35" s="48" t="s">
        <v>27</v>
      </c>
      <c r="S35" s="58" t="s">
        <v>28</v>
      </c>
      <c r="T35" s="58" t="s">
        <v>23</v>
      </c>
      <c r="U35" s="19">
        <f>Y32</f>
        <v>-2.569292207331425</v>
      </c>
      <c r="V35" s="58">
        <f>Z32+(V32-Z32)/2-$G$53/2</f>
        <v>4.569351992176367</v>
      </c>
      <c r="W35" s="58" t="s">
        <v>22</v>
      </c>
      <c r="X35" s="58" t="s">
        <v>23</v>
      </c>
      <c r="Y35" s="19">
        <f>U35+$G$54</f>
        <v>-0.7780619400803661</v>
      </c>
      <c r="Z35" s="19">
        <f>V35+$G$53</f>
        <v>4.696580306594749</v>
      </c>
      <c r="AA35" s="58" t="s">
        <v>24</v>
      </c>
      <c r="AB35" s="58"/>
    </row>
    <row r="36" spans="2:28" ht="12.75">
      <c r="B36" s="1" t="s">
        <v>207</v>
      </c>
      <c r="C36" s="1" t="s">
        <v>33</v>
      </c>
      <c r="D36" s="1" t="s">
        <v>208</v>
      </c>
      <c r="F36" s="1" t="s">
        <v>33</v>
      </c>
      <c r="G36" s="51">
        <f>M36/0.0254</f>
        <v>9.417795872463879</v>
      </c>
      <c r="H36" s="21" t="s">
        <v>45</v>
      </c>
      <c r="I36" s="53">
        <f>M36*1000</f>
        <v>239.2120151605825</v>
      </c>
      <c r="J36" s="1" t="s">
        <v>44</v>
      </c>
      <c r="K36" s="51">
        <f>M36*100</f>
        <v>23.92120151605825</v>
      </c>
      <c r="L36" s="1" t="s">
        <v>43</v>
      </c>
      <c r="M36" s="42">
        <f>G8/G13</f>
        <v>0.2392120151605825</v>
      </c>
      <c r="N36" s="1" t="s">
        <v>35</v>
      </c>
      <c r="R36" s="48"/>
      <c r="S36" s="58" t="s">
        <v>28</v>
      </c>
      <c r="T36" s="58" t="s">
        <v>23</v>
      </c>
      <c r="U36" s="19">
        <f>Y33</f>
        <v>2.569292207331425</v>
      </c>
      <c r="V36" s="58">
        <f>Z33+(V33-Z33)/2-$G$53/2</f>
        <v>4.569351992176367</v>
      </c>
      <c r="W36" s="58" t="s">
        <v>22</v>
      </c>
      <c r="X36" s="58" t="s">
        <v>23</v>
      </c>
      <c r="Y36" s="19">
        <f>U36-$G$54</f>
        <v>0.7780619400803661</v>
      </c>
      <c r="Z36" s="19">
        <f>V36+$G$53</f>
        <v>4.696580306594749</v>
      </c>
      <c r="AA36" s="58" t="s">
        <v>24</v>
      </c>
      <c r="AB36" s="58"/>
    </row>
    <row r="37" spans="13:28" ht="12.75">
      <c r="M37" s="51"/>
      <c r="R37" s="48"/>
      <c r="S37" s="58"/>
      <c r="T37" s="58"/>
      <c r="U37" s="58"/>
      <c r="V37" s="58"/>
      <c r="W37" s="58"/>
      <c r="X37" s="58"/>
      <c r="Y37" s="58"/>
      <c r="Z37" s="58"/>
      <c r="AA37" s="58"/>
      <c r="AB37" s="58"/>
    </row>
    <row r="38" spans="1:28" ht="12.75">
      <c r="A38" s="8" t="s">
        <v>48</v>
      </c>
      <c r="B38" s="8"/>
      <c r="C38" s="8"/>
      <c r="D38" s="8"/>
      <c r="E38" s="8"/>
      <c r="F38" s="8"/>
      <c r="G38" s="10"/>
      <c r="H38" s="16"/>
      <c r="I38" s="8"/>
      <c r="J38" s="8"/>
      <c r="K38" s="8"/>
      <c r="L38" s="8"/>
      <c r="M38" s="15"/>
      <c r="N38" s="8"/>
      <c r="O38" s="8"/>
      <c r="P38" s="8"/>
      <c r="R38" s="48" t="s">
        <v>46</v>
      </c>
      <c r="S38" s="58" t="s">
        <v>28</v>
      </c>
      <c r="T38" s="58" t="s">
        <v>23</v>
      </c>
      <c r="U38" s="19">
        <f>Y35</f>
        <v>-0.7780619400803661</v>
      </c>
      <c r="V38" s="58">
        <f>V35+(Z35-V35)/2-$G$49/2</f>
        <v>4.600709583156899</v>
      </c>
      <c r="W38" s="58" t="s">
        <v>22</v>
      </c>
      <c r="X38" s="58" t="s">
        <v>23</v>
      </c>
      <c r="Y38" s="19">
        <f>Y36</f>
        <v>0.7780619400803661</v>
      </c>
      <c r="Z38" s="58">
        <f>V35+(Z35-V35)/2+$G$49/2</f>
        <v>4.665222715614217</v>
      </c>
      <c r="AA38" s="58" t="s">
        <v>24</v>
      </c>
      <c r="AB38" s="58"/>
    </row>
    <row r="39" spans="7:28" ht="12.75">
      <c r="G39" s="31"/>
      <c r="M39" s="51"/>
      <c r="S39" s="58"/>
      <c r="T39" s="58"/>
      <c r="U39" s="58"/>
      <c r="V39" s="58"/>
      <c r="W39" s="58"/>
      <c r="X39" s="58"/>
      <c r="Y39" s="58"/>
      <c r="Z39" s="58"/>
      <c r="AA39" s="58"/>
      <c r="AB39" s="58"/>
    </row>
    <row r="40" spans="2:28" ht="12.75">
      <c r="B40" s="12" t="s">
        <v>112</v>
      </c>
      <c r="C40" s="12" t="s">
        <v>33</v>
      </c>
      <c r="D40" s="12" t="s">
        <v>113</v>
      </c>
      <c r="E40" s="12"/>
      <c r="F40" s="12" t="s">
        <v>33</v>
      </c>
      <c r="G40" s="26">
        <f>M40/0.0254</f>
        <v>5.404000000000001</v>
      </c>
      <c r="H40" s="23" t="s">
        <v>45</v>
      </c>
      <c r="I40" s="53">
        <f>M40*1000</f>
        <v>137.26160000000002</v>
      </c>
      <c r="J40" s="1" t="s">
        <v>44</v>
      </c>
      <c r="K40" s="51">
        <f>M40*100</f>
        <v>13.726160000000002</v>
      </c>
      <c r="L40" s="1" t="s">
        <v>43</v>
      </c>
      <c r="M40" s="42">
        <f>G16+2*G17+2*G18</f>
        <v>0.1372616</v>
      </c>
      <c r="N40" s="1" t="s">
        <v>35</v>
      </c>
      <c r="R40" s="48" t="s">
        <v>105</v>
      </c>
      <c r="S40" s="58" t="s">
        <v>106</v>
      </c>
      <c r="T40" s="58" t="s">
        <v>107</v>
      </c>
      <c r="U40" s="37">
        <f>$G$24</f>
        <v>0.05</v>
      </c>
      <c r="V40" s="58" t="s">
        <v>108</v>
      </c>
      <c r="W40" s="58"/>
      <c r="X40" s="58"/>
      <c r="Y40" s="58"/>
      <c r="Z40" s="58"/>
      <c r="AA40" s="58"/>
      <c r="AB40" s="58"/>
    </row>
    <row r="41" spans="2:28" ht="12.75">
      <c r="B41" s="12" t="s">
        <v>140</v>
      </c>
      <c r="C41" s="12" t="s">
        <v>33</v>
      </c>
      <c r="D41" s="12" t="s">
        <v>141</v>
      </c>
      <c r="E41" s="12"/>
      <c r="F41" s="12" t="s">
        <v>33</v>
      </c>
      <c r="G41" s="26">
        <f>M41/0.0254</f>
        <v>3.078309199104743</v>
      </c>
      <c r="H41" s="23" t="s">
        <v>45</v>
      </c>
      <c r="I41" s="53">
        <f>M41*1000</f>
        <v>78.18905365726046</v>
      </c>
      <c r="J41" s="1" t="s">
        <v>44</v>
      </c>
      <c r="K41" s="51">
        <f>M41*100</f>
        <v>7.818905365726046</v>
      </c>
      <c r="L41" s="1" t="s">
        <v>43</v>
      </c>
      <c r="M41" s="42">
        <f>B118</f>
        <v>0.07818905365726046</v>
      </c>
      <c r="N41" s="1" t="s">
        <v>35</v>
      </c>
      <c r="R41" s="48"/>
      <c r="S41" s="58" t="s">
        <v>138</v>
      </c>
      <c r="T41" s="58" t="s">
        <v>242</v>
      </c>
      <c r="U41" s="58" t="s">
        <v>23</v>
      </c>
      <c r="V41" s="58">
        <v>0</v>
      </c>
      <c r="W41" s="58">
        <f>V38+(Z38-V38)/2</f>
        <v>4.632966149385558</v>
      </c>
      <c r="X41" s="58" t="s">
        <v>24</v>
      </c>
      <c r="Y41" s="58"/>
      <c r="Z41" s="58"/>
      <c r="AA41" s="58"/>
      <c r="AB41" s="58"/>
    </row>
    <row r="42" spans="2:28" ht="12.75">
      <c r="B42" s="12" t="s">
        <v>166</v>
      </c>
      <c r="C42" s="12" t="s">
        <v>33</v>
      </c>
      <c r="D42" s="12" t="s">
        <v>167</v>
      </c>
      <c r="E42" s="12"/>
      <c r="F42" s="12" t="s">
        <v>33</v>
      </c>
      <c r="G42" s="26">
        <f>M42/0.0254</f>
        <v>16.977166699999245</v>
      </c>
      <c r="H42" s="23" t="s">
        <v>45</v>
      </c>
      <c r="I42" s="53">
        <f>M42*1000</f>
        <v>431.22003417998076</v>
      </c>
      <c r="J42" s="1" t="s">
        <v>44</v>
      </c>
      <c r="K42" s="51">
        <f>M42*100</f>
        <v>43.12200341799808</v>
      </c>
      <c r="L42" s="1" t="s">
        <v>43</v>
      </c>
      <c r="M42" s="42">
        <f>PI()*$M$40</f>
        <v>0.4312200341799808</v>
      </c>
      <c r="N42" s="1" t="s">
        <v>35</v>
      </c>
      <c r="S42" s="58"/>
      <c r="T42" s="58"/>
      <c r="U42" s="58"/>
      <c r="V42" s="58"/>
      <c r="W42" s="58"/>
      <c r="X42" s="58"/>
      <c r="Y42" s="58"/>
      <c r="Z42" s="58"/>
      <c r="AA42" s="58"/>
      <c r="AB42" s="58"/>
    </row>
    <row r="43" spans="2:28" ht="12.75">
      <c r="B43" s="12" t="s">
        <v>195</v>
      </c>
      <c r="C43" s="12" t="s">
        <v>33</v>
      </c>
      <c r="D43" s="12" t="s">
        <v>196</v>
      </c>
      <c r="E43" s="12"/>
      <c r="F43" s="12" t="s">
        <v>33</v>
      </c>
      <c r="G43" s="12">
        <f>IF(I43&lt;1,1,IF(I43&lt;2,2,IF(I43&lt;4,4,IF(I43&lt;8,8,IF(I43&lt;16,16,"Error! Too many Lambda")))))</f>
        <v>4</v>
      </c>
      <c r="H43" s="23" t="s">
        <v>198</v>
      </c>
      <c r="I43" s="81">
        <f>M42/(M36/SQRT($G$12))</f>
        <v>2.674190950631206</v>
      </c>
      <c r="J43" s="1" t="s">
        <v>198</v>
      </c>
      <c r="K43" s="51"/>
      <c r="M43" s="42"/>
      <c r="R43" s="48" t="s">
        <v>193</v>
      </c>
      <c r="S43" s="58" t="s">
        <v>25</v>
      </c>
      <c r="T43" s="58">
        <v>0.01</v>
      </c>
      <c r="U43" s="58" t="s">
        <v>23</v>
      </c>
      <c r="V43" s="58">
        <v>-9</v>
      </c>
      <c r="W43" s="58">
        <v>0</v>
      </c>
      <c r="X43" s="58" t="s">
        <v>194</v>
      </c>
      <c r="Y43" s="58" t="s">
        <v>23</v>
      </c>
      <c r="Z43" s="58">
        <v>9</v>
      </c>
      <c r="AA43" s="58">
        <v>0</v>
      </c>
      <c r="AB43" s="58" t="s">
        <v>24</v>
      </c>
    </row>
    <row r="44" spans="2:28" ht="12.75">
      <c r="B44" s="12" t="s">
        <v>199</v>
      </c>
      <c r="C44" s="12" t="s">
        <v>33</v>
      </c>
      <c r="D44" s="12" t="s">
        <v>224</v>
      </c>
      <c r="E44" s="12"/>
      <c r="F44" s="12" t="s">
        <v>33</v>
      </c>
      <c r="G44" s="24">
        <f>IF(ISBLANK($G$14),G43*60*M36/M42,$G$14)</f>
        <v>133.13593777643896</v>
      </c>
      <c r="H44" s="23" t="s">
        <v>99</v>
      </c>
      <c r="I44" s="53"/>
      <c r="K44" s="51"/>
      <c r="M44" s="42"/>
      <c r="R44" s="48"/>
      <c r="S44" s="58" t="s">
        <v>25</v>
      </c>
      <c r="T44" s="58">
        <v>0.01</v>
      </c>
      <c r="U44" s="58" t="s">
        <v>23</v>
      </c>
      <c r="V44" s="58">
        <v>-9</v>
      </c>
      <c r="W44" s="58">
        <f>$W$41+$G$48/2+$G$22+$G$31</f>
        <v>5.403867276375979</v>
      </c>
      <c r="X44" s="58" t="s">
        <v>22</v>
      </c>
      <c r="Y44" s="58" t="s">
        <v>23</v>
      </c>
      <c r="Z44" s="58">
        <v>9</v>
      </c>
      <c r="AA44" s="27">
        <f>W44</f>
        <v>5.403867276375979</v>
      </c>
      <c r="AB44" s="58" t="s">
        <v>24</v>
      </c>
    </row>
    <row r="45" spans="9:28" ht="12.75">
      <c r="I45" s="53"/>
      <c r="K45" s="51"/>
      <c r="M45" s="42"/>
      <c r="S45" s="58"/>
      <c r="T45" s="58"/>
      <c r="U45" s="58"/>
      <c r="V45" s="58"/>
      <c r="W45" s="58"/>
      <c r="X45" s="58"/>
      <c r="Y45" s="58"/>
      <c r="Z45" s="58"/>
      <c r="AA45" s="58"/>
      <c r="AB45" s="58"/>
    </row>
    <row r="46" spans="1:28" ht="12.75">
      <c r="A46" s="8" t="s">
        <v>74</v>
      </c>
      <c r="B46" s="8"/>
      <c r="C46" s="8"/>
      <c r="D46" s="8"/>
      <c r="E46" s="8"/>
      <c r="F46" s="8"/>
      <c r="G46" s="8"/>
      <c r="H46" s="16"/>
      <c r="I46" s="17"/>
      <c r="J46" s="8"/>
      <c r="K46" s="15"/>
      <c r="L46" s="8"/>
      <c r="M46" s="22"/>
      <c r="N46" s="8"/>
      <c r="O46" s="8"/>
      <c r="P46" s="8"/>
      <c r="R46" s="48" t="s">
        <v>73</v>
      </c>
      <c r="S46" s="58" t="s">
        <v>25</v>
      </c>
      <c r="T46" s="58">
        <v>0.1</v>
      </c>
      <c r="U46" s="58" t="s">
        <v>23</v>
      </c>
      <c r="V46" s="58">
        <f>$G$42/2+T46</f>
        <v>8.588583349999622</v>
      </c>
      <c r="W46" s="37">
        <f>W44-+$G$22</f>
        <v>5.043867276375979</v>
      </c>
      <c r="X46" s="58" t="s">
        <v>22</v>
      </c>
      <c r="Y46" s="58" t="s">
        <v>23</v>
      </c>
      <c r="Z46" s="37">
        <f>V46</f>
        <v>8.588583349999622</v>
      </c>
      <c r="AA46" s="27">
        <f>$Z$9+$G$22</f>
        <v>4.098309199104743</v>
      </c>
      <c r="AB46" s="58" t="s">
        <v>24</v>
      </c>
    </row>
    <row r="47" spans="9:28" ht="12.75">
      <c r="I47" s="53"/>
      <c r="K47" s="51"/>
      <c r="M47" s="42"/>
      <c r="R47" s="48"/>
      <c r="S47" s="58" t="s">
        <v>25</v>
      </c>
      <c r="T47" s="58">
        <v>0.1</v>
      </c>
      <c r="U47" s="58" t="s">
        <v>23</v>
      </c>
      <c r="V47" s="58">
        <f>-$G$42/2-T47</f>
        <v>-8.588583349999622</v>
      </c>
      <c r="W47" s="37">
        <f>W44-+$G$22</f>
        <v>5.043867276375979</v>
      </c>
      <c r="X47" s="58" t="s">
        <v>22</v>
      </c>
      <c r="Y47" s="58" t="s">
        <v>23</v>
      </c>
      <c r="Z47" s="58">
        <f>V47</f>
        <v>-8.588583349999622</v>
      </c>
      <c r="AA47" s="27">
        <f>$Z$9+$G$22</f>
        <v>4.098309199104743</v>
      </c>
      <c r="AB47" s="58" t="s">
        <v>24</v>
      </c>
    </row>
    <row r="48" spans="2:28" ht="12.75">
      <c r="B48" s="12" t="s">
        <v>32</v>
      </c>
      <c r="C48" s="12" t="s">
        <v>33</v>
      </c>
      <c r="D48" s="12" t="s">
        <v>134</v>
      </c>
      <c r="E48" s="12"/>
      <c r="F48" s="12" t="s">
        <v>33</v>
      </c>
      <c r="G48" s="26">
        <f>G73/0.0254</f>
        <v>0.22180225398084272</v>
      </c>
      <c r="H48" s="23" t="s">
        <v>45</v>
      </c>
      <c r="I48" s="53">
        <f>G48*25.4</f>
        <v>5.633777251113405</v>
      </c>
      <c r="J48" s="1" t="s">
        <v>44</v>
      </c>
      <c r="K48" s="51">
        <f>G48*2.54</f>
        <v>0.5633777251113405</v>
      </c>
      <c r="L48" s="1" t="s">
        <v>43</v>
      </c>
      <c r="M48" s="42">
        <f>G48*0.0254</f>
        <v>0.005633777251113405</v>
      </c>
      <c r="N48" s="1" t="s">
        <v>35</v>
      </c>
      <c r="S48" s="58"/>
      <c r="T48" s="58"/>
      <c r="U48" s="58"/>
      <c r="V48" s="58"/>
      <c r="W48" s="58"/>
      <c r="X48" s="58"/>
      <c r="Y48" s="58"/>
      <c r="Z48" s="58"/>
      <c r="AA48" s="58"/>
      <c r="AB48" s="58"/>
    </row>
    <row r="49" spans="2:28" ht="12.75">
      <c r="B49" s="12" t="s">
        <v>123</v>
      </c>
      <c r="C49" s="12" t="s">
        <v>33</v>
      </c>
      <c r="D49" s="12" t="s">
        <v>160</v>
      </c>
      <c r="E49" s="12"/>
      <c r="F49" s="12" t="s">
        <v>33</v>
      </c>
      <c r="G49" s="26">
        <f>G83/0.0254</f>
        <v>0.06451313245731712</v>
      </c>
      <c r="H49" s="23" t="s">
        <v>45</v>
      </c>
      <c r="I49" s="53">
        <f>G49*25.4</f>
        <v>1.6386335644158547</v>
      </c>
      <c r="J49" s="1" t="s">
        <v>44</v>
      </c>
      <c r="K49" s="51">
        <f>G49*2.54</f>
        <v>0.16386335644158548</v>
      </c>
      <c r="L49" s="1" t="s">
        <v>43</v>
      </c>
      <c r="M49" s="42">
        <f>G49*0.0254</f>
        <v>0.0016386335644158546</v>
      </c>
      <c r="N49" s="1" t="s">
        <v>35</v>
      </c>
      <c r="R49" s="48" t="s">
        <v>158</v>
      </c>
      <c r="S49" s="58" t="s">
        <v>28</v>
      </c>
      <c r="T49" s="58" t="s">
        <v>23</v>
      </c>
      <c r="U49" s="58">
        <f>Y11+(U11-Y11)/2</f>
        <v>-3.1832187562498584</v>
      </c>
      <c r="V49" s="58">
        <f>Z11-(Z11-Z16)/2</f>
        <v>4.146315393864269</v>
      </c>
      <c r="W49" s="58" t="s">
        <v>22</v>
      </c>
      <c r="X49" s="58" t="s">
        <v>23</v>
      </c>
      <c r="Y49" s="58">
        <f>Y11</f>
        <v>-3.167469127718991</v>
      </c>
      <c r="Z49" s="12">
        <f>Z11</f>
        <v>4.130565765333402</v>
      </c>
      <c r="AA49" s="58" t="s">
        <v>24</v>
      </c>
      <c r="AB49" s="58"/>
    </row>
    <row r="50" spans="2:28" ht="12.75">
      <c r="B50" s="12" t="s">
        <v>114</v>
      </c>
      <c r="C50" s="12" t="s">
        <v>33</v>
      </c>
      <c r="D50" s="12" t="s">
        <v>190</v>
      </c>
      <c r="E50" s="12"/>
      <c r="F50" s="12" t="s">
        <v>33</v>
      </c>
      <c r="G50" s="26">
        <f>G90/0.0254</f>
        <v>0.031499257061734294</v>
      </c>
      <c r="H50" s="23" t="s">
        <v>45</v>
      </c>
      <c r="I50" s="53">
        <f>G50*25.4</f>
        <v>0.800081129368051</v>
      </c>
      <c r="J50" s="1" t="s">
        <v>44</v>
      </c>
      <c r="K50" s="51">
        <f>G50*2.54</f>
        <v>0.08000811293680511</v>
      </c>
      <c r="L50" s="1" t="s">
        <v>43</v>
      </c>
      <c r="M50" s="42">
        <f>G50*0.0254</f>
        <v>0.000800081129368051</v>
      </c>
      <c r="N50" s="1" t="s">
        <v>35</v>
      </c>
      <c r="R50" s="48"/>
      <c r="S50" s="58" t="s">
        <v>25</v>
      </c>
      <c r="T50" s="19">
        <f>$G$50/2</f>
        <v>0.015749628530867147</v>
      </c>
      <c r="U50" s="58" t="s">
        <v>23</v>
      </c>
      <c r="V50" s="58">
        <f>Y11+3*(U11-Y11)/4</f>
        <v>-3.1910935705152923</v>
      </c>
      <c r="W50" s="58">
        <f>Z11</f>
        <v>4.130565765333402</v>
      </c>
      <c r="X50" s="58" t="s">
        <v>22</v>
      </c>
      <c r="Y50" s="58" t="s">
        <v>23</v>
      </c>
      <c r="Z50" s="58">
        <f>Y11</f>
        <v>-3.167469127718991</v>
      </c>
      <c r="AA50" s="37">
        <f>Z11-3*(Z11-Z16)/4</f>
        <v>4.154190208129703</v>
      </c>
      <c r="AB50" s="58" t="s">
        <v>24</v>
      </c>
    </row>
    <row r="51" spans="9:28" ht="12.75">
      <c r="I51" s="53"/>
      <c r="K51" s="51"/>
      <c r="M51" s="42"/>
      <c r="R51" s="48"/>
      <c r="S51" s="58"/>
      <c r="T51" s="58"/>
      <c r="U51" s="58"/>
      <c r="V51" s="58"/>
      <c r="W51" s="58"/>
      <c r="X51" s="58"/>
      <c r="Y51" s="58"/>
      <c r="Z51" s="58"/>
      <c r="AA51" s="58"/>
      <c r="AB51" s="58"/>
    </row>
    <row r="52" spans="2:28" ht="12.75">
      <c r="B52" s="12" t="s">
        <v>64</v>
      </c>
      <c r="C52" s="12" t="s">
        <v>33</v>
      </c>
      <c r="D52" s="12" t="s">
        <v>65</v>
      </c>
      <c r="E52" s="12"/>
      <c r="F52" s="12" t="s">
        <v>33</v>
      </c>
      <c r="G52" s="24">
        <f>G94</f>
        <v>70.71067811865476</v>
      </c>
      <c r="H52" s="23" t="s">
        <v>67</v>
      </c>
      <c r="I52" s="53"/>
      <c r="K52" s="51"/>
      <c r="M52" s="42"/>
      <c r="R52" s="48" t="s">
        <v>216</v>
      </c>
      <c r="S52" s="58" t="s">
        <v>28</v>
      </c>
      <c r="T52" s="58" t="s">
        <v>23</v>
      </c>
      <c r="U52" s="58">
        <f>U12</f>
        <v>-1.07682254728082</v>
      </c>
      <c r="V52" s="58">
        <f>Z12</f>
        <v>4.130565765333402</v>
      </c>
      <c r="W52" s="58" t="s">
        <v>22</v>
      </c>
      <c r="X52" s="58" t="s">
        <v>23</v>
      </c>
      <c r="Y52" s="58">
        <f>U12+(Y12-U12)/2</f>
        <v>-1.0610729187499528</v>
      </c>
      <c r="Z52" s="12">
        <f>Z12+(Z17-V17)/2</f>
        <v>4.146315393864269</v>
      </c>
      <c r="AA52" s="58" t="s">
        <v>24</v>
      </c>
      <c r="AB52" s="58"/>
    </row>
    <row r="53" spans="2:28" ht="12.75">
      <c r="B53" s="12" t="s">
        <v>95</v>
      </c>
      <c r="C53" s="12" t="s">
        <v>33</v>
      </c>
      <c r="D53" s="12" t="s">
        <v>96</v>
      </c>
      <c r="E53" s="12"/>
      <c r="F53" s="12" t="s">
        <v>33</v>
      </c>
      <c r="G53" s="26">
        <f>G99/0.0254</f>
        <v>0.12722831441838153</v>
      </c>
      <c r="H53" s="23" t="s">
        <v>45</v>
      </c>
      <c r="I53" s="53">
        <f>G53*25.4</f>
        <v>3.231599186226891</v>
      </c>
      <c r="J53" s="1" t="s">
        <v>44</v>
      </c>
      <c r="K53" s="51">
        <f>G53*2.54</f>
        <v>0.3231599186226891</v>
      </c>
      <c r="L53" s="1" t="s">
        <v>43</v>
      </c>
      <c r="M53" s="42">
        <f>G53*0.0254</f>
        <v>0.0032315991862268906</v>
      </c>
      <c r="N53" s="1" t="s">
        <v>35</v>
      </c>
      <c r="R53" s="48"/>
      <c r="S53" s="58" t="s">
        <v>25</v>
      </c>
      <c r="T53" s="19">
        <f>$G$50/2</f>
        <v>0.015749628530867147</v>
      </c>
      <c r="U53" s="58" t="s">
        <v>23</v>
      </c>
      <c r="V53" s="58">
        <f>U12</f>
        <v>-1.07682254728082</v>
      </c>
      <c r="W53" s="58">
        <f>Z12+3*(Z17-Z12)/4</f>
        <v>4.154190208129703</v>
      </c>
      <c r="X53" s="58" t="s">
        <v>22</v>
      </c>
      <c r="Y53" s="58" t="s">
        <v>23</v>
      </c>
      <c r="Z53" s="58">
        <f>U12+3*(Y12-U12)/4</f>
        <v>-1.0531981044845193</v>
      </c>
      <c r="AA53" s="37">
        <f>Z12</f>
        <v>4.130565765333402</v>
      </c>
      <c r="AB53" s="58" t="s">
        <v>24</v>
      </c>
    </row>
    <row r="54" spans="2:28" ht="12.75">
      <c r="B54" s="12" t="s">
        <v>119</v>
      </c>
      <c r="C54" s="12" t="s">
        <v>33</v>
      </c>
      <c r="D54" s="12" t="s">
        <v>126</v>
      </c>
      <c r="E54" s="12"/>
      <c r="F54" s="12" t="s">
        <v>33</v>
      </c>
      <c r="G54" s="26">
        <f>G102/0.0254</f>
        <v>1.7912302672510587</v>
      </c>
      <c r="H54" s="23" t="s">
        <v>45</v>
      </c>
      <c r="I54" s="53">
        <f>G54*25.4</f>
        <v>45.49724878817689</v>
      </c>
      <c r="J54" s="1" t="s">
        <v>44</v>
      </c>
      <c r="K54" s="51">
        <f>G54*2.54</f>
        <v>4.549724878817689</v>
      </c>
      <c r="L54" s="1" t="s">
        <v>43</v>
      </c>
      <c r="M54" s="42">
        <f>G54*0.0254</f>
        <v>0.04549724878817689</v>
      </c>
      <c r="N54" s="1" t="s">
        <v>35</v>
      </c>
      <c r="R54" s="48"/>
      <c r="S54" s="58"/>
      <c r="T54" s="58"/>
      <c r="U54" s="58"/>
      <c r="V54" s="58"/>
      <c r="W54" s="58"/>
      <c r="X54" s="58"/>
      <c r="Y54" s="58"/>
      <c r="Z54" s="58"/>
      <c r="AA54" s="58"/>
      <c r="AB54" s="58"/>
    </row>
    <row r="55" spans="9:28" ht="12.75">
      <c r="I55" s="53"/>
      <c r="K55" s="51"/>
      <c r="M55" s="42"/>
      <c r="R55" s="48" t="s">
        <v>62</v>
      </c>
      <c r="S55" s="58" t="s">
        <v>28</v>
      </c>
      <c r="T55" s="58" t="s">
        <v>23</v>
      </c>
      <c r="U55" s="58">
        <f>Y13+(U13-Y13)/2</f>
        <v>1.0610729187499528</v>
      </c>
      <c r="V55" s="58">
        <f>Z13-(Z13-Z18)/2</f>
        <v>4.146315393864269</v>
      </c>
      <c r="W55" s="58" t="s">
        <v>22</v>
      </c>
      <c r="X55" s="58" t="s">
        <v>23</v>
      </c>
      <c r="Y55" s="58">
        <f>Y13</f>
        <v>1.07682254728082</v>
      </c>
      <c r="Z55" s="12">
        <f>Z13</f>
        <v>4.130565765333402</v>
      </c>
      <c r="AA55" s="58" t="s">
        <v>24</v>
      </c>
      <c r="AB55" s="58"/>
    </row>
    <row r="56" spans="2:28" ht="12.75">
      <c r="B56" s="12" t="s">
        <v>227</v>
      </c>
      <c r="C56" s="12" t="s">
        <v>33</v>
      </c>
      <c r="D56" s="12" t="s">
        <v>240</v>
      </c>
      <c r="E56" s="12"/>
      <c r="F56" s="12" t="s">
        <v>33</v>
      </c>
      <c r="G56" s="24">
        <f>G106</f>
        <v>115.38454739541122</v>
      </c>
      <c r="H56" s="23" t="s">
        <v>67</v>
      </c>
      <c r="I56" s="53"/>
      <c r="K56" s="51"/>
      <c r="M56" s="42"/>
      <c r="R56" s="48"/>
      <c r="S56" s="58" t="s">
        <v>25</v>
      </c>
      <c r="T56" s="19">
        <f>$G$50/2</f>
        <v>0.015749628530867147</v>
      </c>
      <c r="U56" s="58" t="s">
        <v>23</v>
      </c>
      <c r="V56" s="58">
        <f>Y13+3*(U13-Y13)/4</f>
        <v>1.0531981044845193</v>
      </c>
      <c r="W56" s="58">
        <f>Z13</f>
        <v>4.130565765333402</v>
      </c>
      <c r="X56" s="58" t="s">
        <v>22</v>
      </c>
      <c r="Y56" s="58" t="s">
        <v>23</v>
      </c>
      <c r="Z56" s="58">
        <f>Y13</f>
        <v>1.07682254728082</v>
      </c>
      <c r="AA56" s="37">
        <f>Z13-3*(Z13-Z18)/4</f>
        <v>4.154190208129703</v>
      </c>
      <c r="AB56" s="58" t="s">
        <v>24</v>
      </c>
    </row>
    <row r="57" spans="2:28" ht="12.75">
      <c r="B57" s="12" t="s">
        <v>168</v>
      </c>
      <c r="C57" s="12" t="s">
        <v>33</v>
      </c>
      <c r="D57" s="12" t="s">
        <v>243</v>
      </c>
      <c r="E57" s="12"/>
      <c r="F57" s="12" t="s">
        <v>33</v>
      </c>
      <c r="G57" s="26">
        <f>G111/0.0254</f>
        <v>0.04610308534032648</v>
      </c>
      <c r="H57" s="23" t="s">
        <v>45</v>
      </c>
      <c r="I57" s="53">
        <f>G57*25.4</f>
        <v>1.1710183676442925</v>
      </c>
      <c r="J57" s="1" t="s">
        <v>44</v>
      </c>
      <c r="K57" s="51">
        <f>G57*2.54</f>
        <v>0.11710183676442926</v>
      </c>
      <c r="L57" s="1" t="s">
        <v>43</v>
      </c>
      <c r="M57" s="42">
        <f>G57*0.0254</f>
        <v>0.0011710183676442924</v>
      </c>
      <c r="N57" s="1" t="s">
        <v>35</v>
      </c>
      <c r="R57" s="48"/>
      <c r="S57" s="58"/>
      <c r="T57" s="58"/>
      <c r="U57" s="58"/>
      <c r="V57" s="58"/>
      <c r="W57" s="58"/>
      <c r="X57" s="58"/>
      <c r="Y57" s="58"/>
      <c r="Z57" s="58"/>
      <c r="AA57" s="58"/>
      <c r="AB57" s="58"/>
    </row>
    <row r="58" spans="2:28" ht="12.75">
      <c r="B58" s="12" t="s">
        <v>38</v>
      </c>
      <c r="C58" s="12" t="s">
        <v>33</v>
      </c>
      <c r="D58" s="12" t="s">
        <v>126</v>
      </c>
      <c r="E58" s="12"/>
      <c r="F58" s="12" t="s">
        <v>33</v>
      </c>
      <c r="G58" s="26">
        <f>G114/0.0254</f>
        <v>1.7872430369924421</v>
      </c>
      <c r="H58" s="23" t="s">
        <v>45</v>
      </c>
      <c r="I58" s="53">
        <f>G58*25.4</f>
        <v>45.395973139608024</v>
      </c>
      <c r="J58" s="1" t="s">
        <v>44</v>
      </c>
      <c r="K58" s="51">
        <f>G58*2.54</f>
        <v>4.539597313960803</v>
      </c>
      <c r="L58" s="1" t="s">
        <v>43</v>
      </c>
      <c r="M58" s="42">
        <f>G58*0.0254</f>
        <v>0.045395973139608026</v>
      </c>
      <c r="N58" s="1" t="s">
        <v>35</v>
      </c>
      <c r="R58" s="48" t="s">
        <v>122</v>
      </c>
      <c r="S58" s="58" t="s">
        <v>28</v>
      </c>
      <c r="T58" s="58" t="s">
        <v>23</v>
      </c>
      <c r="U58" s="58">
        <f>U14</f>
        <v>3.167469127718991</v>
      </c>
      <c r="V58" s="58">
        <f>Z14</f>
        <v>4.130565765333402</v>
      </c>
      <c r="W58" s="58" t="s">
        <v>22</v>
      </c>
      <c r="X58" s="58" t="s">
        <v>23</v>
      </c>
      <c r="Y58" s="58">
        <f>U14+(Y14-U14)/2</f>
        <v>3.1832187562498584</v>
      </c>
      <c r="Z58" s="12">
        <f>Z14+(Z19-V19)/2</f>
        <v>4.146315393864269</v>
      </c>
      <c r="AA58" s="58" t="s">
        <v>24</v>
      </c>
      <c r="AB58" s="58"/>
    </row>
    <row r="59" spans="13:41" ht="12.75">
      <c r="M59" s="42"/>
      <c r="R59" s="48"/>
      <c r="S59" s="58" t="s">
        <v>25</v>
      </c>
      <c r="T59" s="19">
        <f>$G$50/2</f>
        <v>0.015749628530867147</v>
      </c>
      <c r="U59" s="58" t="s">
        <v>23</v>
      </c>
      <c r="V59" s="58">
        <f>U14</f>
        <v>3.167469127718991</v>
      </c>
      <c r="W59" s="58">
        <f>Z14+3*(Z19-Z14)/4</f>
        <v>4.154190208129703</v>
      </c>
      <c r="X59" s="58" t="s">
        <v>22</v>
      </c>
      <c r="Y59" s="58" t="s">
        <v>23</v>
      </c>
      <c r="Z59" s="58">
        <f>U14+3*(Y14-U14)/4</f>
        <v>3.1910935705152923</v>
      </c>
      <c r="AA59" s="37">
        <f>Z14</f>
        <v>4.130565765333402</v>
      </c>
      <c r="AB59" s="58" t="s">
        <v>24</v>
      </c>
      <c r="AO59" s="1"/>
    </row>
    <row r="60" spans="1:28" ht="12.75">
      <c r="A60" s="8" t="s">
        <v>84</v>
      </c>
      <c r="B60" s="8"/>
      <c r="C60" s="8"/>
      <c r="D60" s="8"/>
      <c r="E60" s="8"/>
      <c r="F60" s="8"/>
      <c r="G60" s="8"/>
      <c r="H60" s="16"/>
      <c r="I60" s="8"/>
      <c r="J60" s="8"/>
      <c r="K60" s="8"/>
      <c r="L60" s="8"/>
      <c r="M60" s="22"/>
      <c r="N60" s="8"/>
      <c r="O60" s="8"/>
      <c r="P60" s="8"/>
      <c r="S60" s="58"/>
      <c r="T60" s="58"/>
      <c r="U60" s="58"/>
      <c r="V60" s="58"/>
      <c r="W60" s="58"/>
      <c r="X60" s="58"/>
      <c r="Y60" s="58"/>
      <c r="Z60" s="58"/>
      <c r="AA60" s="58"/>
      <c r="AB60" s="58"/>
    </row>
    <row r="61" spans="13:28" ht="12.75">
      <c r="M61" s="42"/>
      <c r="R61" s="48" t="s">
        <v>214</v>
      </c>
      <c r="S61" s="58" t="s">
        <v>28</v>
      </c>
      <c r="T61" s="58" t="s">
        <v>23</v>
      </c>
      <c r="U61" s="58">
        <f>Y29+(U29-Y29)/2</f>
        <v>-4.244291674999811</v>
      </c>
      <c r="V61" s="58">
        <f>Z29-(Z29-Z32)/2</f>
        <v>4.632966149385558</v>
      </c>
      <c r="W61" s="58" t="s">
        <v>22</v>
      </c>
      <c r="X61" s="58" t="s">
        <v>23</v>
      </c>
      <c r="Y61" s="19">
        <f>Y29</f>
        <v>-4.13339054800939</v>
      </c>
      <c r="Z61" s="12">
        <f>Z29</f>
        <v>4.522065022395137</v>
      </c>
      <c r="AA61" s="58" t="s">
        <v>24</v>
      </c>
      <c r="AB61" s="58"/>
    </row>
    <row r="62" spans="2:28" ht="12.75">
      <c r="B62" s="12" t="s">
        <v>146</v>
      </c>
      <c r="C62" s="12" t="s">
        <v>33</v>
      </c>
      <c r="D62" s="12" t="s">
        <v>147</v>
      </c>
      <c r="E62" s="12"/>
      <c r="F62" s="12" t="s">
        <v>33</v>
      </c>
      <c r="G62" s="12">
        <f>W44</f>
        <v>5.403867276375979</v>
      </c>
      <c r="H62" s="23" t="s">
        <v>45</v>
      </c>
      <c r="I62" s="53">
        <f>G62*25.4</f>
        <v>137.25822881994986</v>
      </c>
      <c r="J62" s="1" t="s">
        <v>44</v>
      </c>
      <c r="K62" s="51">
        <f>G62*2.54</f>
        <v>13.725822881994986</v>
      </c>
      <c r="L62" s="1" t="s">
        <v>43</v>
      </c>
      <c r="M62" s="42">
        <f>G62*0.0254</f>
        <v>0.13725822881994987</v>
      </c>
      <c r="N62" s="1" t="s">
        <v>35</v>
      </c>
      <c r="R62" s="48"/>
      <c r="S62" s="58" t="s">
        <v>25</v>
      </c>
      <c r="T62" s="19">
        <f>$G$48/2</f>
        <v>0.11090112699042136</v>
      </c>
      <c r="U62" s="58" t="s">
        <v>23</v>
      </c>
      <c r="V62" s="58">
        <f>Y29+3*(U29-Y29)/4</f>
        <v>-4.299742238495021</v>
      </c>
      <c r="W62" s="58">
        <f>Z29</f>
        <v>4.522065022395137</v>
      </c>
      <c r="X62" s="58" t="s">
        <v>22</v>
      </c>
      <c r="Y62" s="58" t="s">
        <v>23</v>
      </c>
      <c r="Z62" s="19">
        <f>Y29</f>
        <v>-4.13339054800939</v>
      </c>
      <c r="AA62" s="27">
        <f>Z29-3*(Z29-Z32)/4</f>
        <v>4.688416712880769</v>
      </c>
      <c r="AB62" s="58" t="s">
        <v>24</v>
      </c>
    </row>
    <row r="63" spans="18:28" ht="12.75">
      <c r="R63" s="48"/>
      <c r="S63" s="58"/>
      <c r="T63" s="58"/>
      <c r="U63" s="58"/>
      <c r="V63" s="58"/>
      <c r="W63" s="58"/>
      <c r="X63" s="58"/>
      <c r="Y63" s="58"/>
      <c r="Z63" s="58"/>
      <c r="AA63" s="58"/>
      <c r="AB63" s="58"/>
    </row>
    <row r="64" spans="1:28" ht="12.75">
      <c r="A64" s="8" t="s">
        <v>205</v>
      </c>
      <c r="B64" s="8"/>
      <c r="C64" s="8"/>
      <c r="D64" s="8"/>
      <c r="E64" s="8"/>
      <c r="F64" s="8"/>
      <c r="G64" s="8"/>
      <c r="H64" s="16"/>
      <c r="I64" s="8"/>
      <c r="J64" s="8"/>
      <c r="K64" s="8"/>
      <c r="L64" s="8"/>
      <c r="M64" s="8"/>
      <c r="N64" s="8"/>
      <c r="O64" s="8"/>
      <c r="P64" s="8"/>
      <c r="R64" s="48" t="s">
        <v>53</v>
      </c>
      <c r="S64" s="58" t="s">
        <v>28</v>
      </c>
      <c r="T64" s="58" t="s">
        <v>23</v>
      </c>
      <c r="U64" s="19">
        <f>U30</f>
        <v>4.13339054800939</v>
      </c>
      <c r="V64" s="58">
        <f>Z30</f>
        <v>4.522065022395137</v>
      </c>
      <c r="W64" s="58" t="s">
        <v>22</v>
      </c>
      <c r="X64" s="58" t="s">
        <v>23</v>
      </c>
      <c r="Y64" s="58">
        <f>U30+(Y30-U30)/2</f>
        <v>4.244291674999811</v>
      </c>
      <c r="Z64" s="12">
        <f>Z30+(Z33-V33)/2</f>
        <v>4.632966149385558</v>
      </c>
      <c r="AA64" s="58" t="s">
        <v>24</v>
      </c>
      <c r="AB64" s="58"/>
    </row>
    <row r="65" spans="18:28" ht="12.75">
      <c r="R65" s="48"/>
      <c r="S65" s="58" t="s">
        <v>25</v>
      </c>
      <c r="T65" s="19">
        <f>$G$48/2</f>
        <v>0.11090112699042136</v>
      </c>
      <c r="U65" s="58" t="s">
        <v>23</v>
      </c>
      <c r="V65" s="19">
        <f>U30</f>
        <v>4.13339054800939</v>
      </c>
      <c r="W65" s="58">
        <f>Z30+3*(Z33-Z30)/4</f>
        <v>4.688416712880769</v>
      </c>
      <c r="X65" s="58" t="s">
        <v>22</v>
      </c>
      <c r="Y65" s="58" t="s">
        <v>23</v>
      </c>
      <c r="Z65" s="58">
        <f>U30+3*(Y30-U30)/4</f>
        <v>4.299742238495021</v>
      </c>
      <c r="AA65" s="27">
        <f>Z30</f>
        <v>4.522065022395137</v>
      </c>
      <c r="AB65" s="58" t="s">
        <v>24</v>
      </c>
    </row>
    <row r="66" spans="1:28" ht="12.75">
      <c r="A66" s="59" t="s">
        <v>47</v>
      </c>
      <c r="S66" s="58"/>
      <c r="T66" s="58"/>
      <c r="U66" s="58"/>
      <c r="V66" s="58"/>
      <c r="W66" s="58"/>
      <c r="X66" s="58"/>
      <c r="Y66" s="58"/>
      <c r="Z66" s="58"/>
      <c r="AA66" s="58"/>
      <c r="AB66" s="58"/>
    </row>
    <row r="67" spans="18:28" ht="12.75">
      <c r="R67" s="48" t="s">
        <v>148</v>
      </c>
      <c r="S67" s="58" t="s">
        <v>149</v>
      </c>
      <c r="T67" s="58" t="s">
        <v>150</v>
      </c>
      <c r="U67" s="58"/>
      <c r="V67" s="58"/>
      <c r="W67" s="58"/>
      <c r="X67" s="58"/>
      <c r="Y67" s="58"/>
      <c r="Z67" s="58"/>
      <c r="AA67" s="58"/>
      <c r="AB67" s="58"/>
    </row>
    <row r="68" spans="2:28" ht="12.75">
      <c r="B68" s="1" t="s">
        <v>109</v>
      </c>
      <c r="C68" s="1" t="s">
        <v>33</v>
      </c>
      <c r="D68" s="1" t="s">
        <v>110</v>
      </c>
      <c r="F68" s="1" t="s">
        <v>33</v>
      </c>
      <c r="G68" s="1">
        <v>50</v>
      </c>
      <c r="H68" s="21" t="s">
        <v>99</v>
      </c>
      <c r="R68" s="48"/>
      <c r="S68" s="58" t="s">
        <v>31</v>
      </c>
      <c r="T68" s="58">
        <v>0.01</v>
      </c>
      <c r="U68" s="58" t="s">
        <v>23</v>
      </c>
      <c r="V68" s="58">
        <f>$G$42/2-($G$28+$G$26/2)</f>
        <v>8.288583349999623</v>
      </c>
      <c r="W68" s="58">
        <f>$G$28+$G$26/2</f>
        <v>0.2</v>
      </c>
      <c r="X68" s="58" t="s">
        <v>22</v>
      </c>
      <c r="Y68" s="58" t="s">
        <v>23</v>
      </c>
      <c r="Z68" s="37">
        <f>V68+$G$26/2</f>
        <v>8.388583349999623</v>
      </c>
      <c r="AA68" s="58">
        <f>W68</f>
        <v>0.2</v>
      </c>
      <c r="AB68" s="58" t="s">
        <v>24</v>
      </c>
    </row>
    <row r="69" spans="18:28" ht="12.75">
      <c r="R69" s="48"/>
      <c r="S69" s="58" t="s">
        <v>31</v>
      </c>
      <c r="T69" s="58">
        <v>0.01</v>
      </c>
      <c r="U69" s="58" t="s">
        <v>23</v>
      </c>
      <c r="V69" s="58">
        <f>$G$42/4</f>
        <v>4.244291674999811</v>
      </c>
      <c r="W69" s="58">
        <f>$G$28+$G$26/2</f>
        <v>0.2</v>
      </c>
      <c r="X69" s="58" t="s">
        <v>22</v>
      </c>
      <c r="Y69" s="58" t="s">
        <v>23</v>
      </c>
      <c r="Z69" s="37">
        <f>V69+$G$26/2</f>
        <v>4.344291674999811</v>
      </c>
      <c r="AA69" s="58">
        <f>W69</f>
        <v>0.2</v>
      </c>
      <c r="AB69" s="58" t="s">
        <v>24</v>
      </c>
    </row>
    <row r="70" spans="2:28" ht="12.75">
      <c r="B70" s="1" t="s">
        <v>78</v>
      </c>
      <c r="C70" s="1" t="s">
        <v>33</v>
      </c>
      <c r="D70" s="1" t="s">
        <v>79</v>
      </c>
      <c r="F70" s="1" t="s">
        <v>33</v>
      </c>
      <c r="G70" s="53">
        <f>377*PI()/(2*G68*SQRT($G$12))</f>
        <v>7.983893738565503</v>
      </c>
      <c r="I70" s="1" t="s">
        <v>80</v>
      </c>
      <c r="K70" s="1">
        <f>2/PI()*(G70-1-LN(2*G70-1)+($G$12-1)/(2*$G$12)*(LN(G70-1)+0.39-0.61/$G$12))</f>
        <v>3.080586860845038</v>
      </c>
      <c r="R70" s="48"/>
      <c r="S70" s="58" t="s">
        <v>31</v>
      </c>
      <c r="T70" s="58">
        <v>0.01</v>
      </c>
      <c r="U70" s="58" t="s">
        <v>23</v>
      </c>
      <c r="V70" s="58">
        <v>0</v>
      </c>
      <c r="W70" s="58">
        <f>$G$28+$G$26/2</f>
        <v>0.2</v>
      </c>
      <c r="X70" s="58" t="s">
        <v>22</v>
      </c>
      <c r="Y70" s="58" t="s">
        <v>23</v>
      </c>
      <c r="Z70" s="37">
        <f>V70+$G$26/2</f>
        <v>0.1</v>
      </c>
      <c r="AA70" s="58">
        <f>W70</f>
        <v>0.2</v>
      </c>
      <c r="AB70" s="58" t="s">
        <v>24</v>
      </c>
    </row>
    <row r="71" spans="2:28" ht="12.75">
      <c r="B71" s="1" t="s">
        <v>63</v>
      </c>
      <c r="C71" s="1" t="s">
        <v>33</v>
      </c>
      <c r="D71" s="1" t="s">
        <v>50</v>
      </c>
      <c r="F71" s="1" t="s">
        <v>33</v>
      </c>
      <c r="G71" s="53">
        <f>G68/60*SQRT(($G$12+1)/2)+($G$12-1)/($G$12+1)*(0.23+0.11/$G$12)</f>
        <v>1.1592317121411704</v>
      </c>
      <c r="I71" s="1" t="s">
        <v>52</v>
      </c>
      <c r="K71" s="1">
        <f>8*EXP(G71)/(EXP(2*G71)-2)</f>
        <v>3.1249643702581893</v>
      </c>
      <c r="R71" s="48"/>
      <c r="S71" s="58" t="s">
        <v>31</v>
      </c>
      <c r="T71" s="58">
        <v>0.01</v>
      </c>
      <c r="U71" s="58" t="s">
        <v>23</v>
      </c>
      <c r="V71" s="58">
        <f>-$G$42/4</f>
        <v>-4.244291674999811</v>
      </c>
      <c r="W71" s="58">
        <f>$G$28+$G$26/2</f>
        <v>0.2</v>
      </c>
      <c r="X71" s="58" t="s">
        <v>22</v>
      </c>
      <c r="Y71" s="58" t="s">
        <v>23</v>
      </c>
      <c r="Z71" s="37">
        <f>V71+$G$26/2</f>
        <v>-4.1442916749998115</v>
      </c>
      <c r="AA71" s="58">
        <f>W71</f>
        <v>0.2</v>
      </c>
      <c r="AB71" s="58" t="s">
        <v>24</v>
      </c>
    </row>
    <row r="72" spans="18:28" ht="12.75">
      <c r="R72" s="48"/>
      <c r="S72" s="58" t="s">
        <v>31</v>
      </c>
      <c r="T72" s="58">
        <v>0.01</v>
      </c>
      <c r="U72" s="58" t="s">
        <v>23</v>
      </c>
      <c r="V72" s="58">
        <f>-$G$42/2+($G$28+$G$26/2)</f>
        <v>-8.288583349999623</v>
      </c>
      <c r="W72" s="58">
        <f>$G$28+$G$26/2</f>
        <v>0.2</v>
      </c>
      <c r="X72" s="58" t="s">
        <v>22</v>
      </c>
      <c r="Y72" s="58" t="s">
        <v>23</v>
      </c>
      <c r="Z72" s="37">
        <f>V72+$G$26/2</f>
        <v>-8.188583349999623</v>
      </c>
      <c r="AA72" s="58">
        <f>W72</f>
        <v>0.2</v>
      </c>
      <c r="AB72" s="58" t="s">
        <v>24</v>
      </c>
    </row>
    <row r="73" spans="2:28" ht="12.75">
      <c r="B73" s="1" t="s">
        <v>32</v>
      </c>
      <c r="C73" s="1" t="s">
        <v>33</v>
      </c>
      <c r="D73" s="1" t="s">
        <v>34</v>
      </c>
      <c r="F73" s="1" t="s">
        <v>33</v>
      </c>
      <c r="G73" s="49">
        <f>IF(AND(K70&gt;2,K71&gt;2),K70*$G$18,K71*$G$18)</f>
        <v>0.005633777251113405</v>
      </c>
      <c r="H73" s="21" t="s">
        <v>35</v>
      </c>
      <c r="R73" s="48"/>
      <c r="S73" s="58"/>
      <c r="T73" s="58"/>
      <c r="U73" s="58"/>
      <c r="V73" s="58"/>
      <c r="W73" s="58"/>
      <c r="X73" s="58"/>
      <c r="Y73" s="58"/>
      <c r="Z73" s="58"/>
      <c r="AA73" s="58"/>
      <c r="AB73" s="58"/>
    </row>
    <row r="74" spans="18:28" ht="12.75">
      <c r="R74" s="48"/>
      <c r="S74" s="58" t="s">
        <v>31</v>
      </c>
      <c r="T74" s="58">
        <v>0.01</v>
      </c>
      <c r="U74" s="58" t="s">
        <v>23</v>
      </c>
      <c r="V74" s="58">
        <f>$G$42/2-($G$28+$G$26/2)</f>
        <v>8.288583349999623</v>
      </c>
      <c r="W74" s="19">
        <f>$AA$44-($G$28+$G$26/2)</f>
        <v>5.203867276375979</v>
      </c>
      <c r="X74" s="58" t="s">
        <v>22</v>
      </c>
      <c r="Y74" s="58" t="s">
        <v>23</v>
      </c>
      <c r="Z74" s="37">
        <f>V74+$G$26/2</f>
        <v>8.388583349999623</v>
      </c>
      <c r="AA74" s="27">
        <f>W74</f>
        <v>5.203867276375979</v>
      </c>
      <c r="AB74" s="58" t="s">
        <v>24</v>
      </c>
    </row>
    <row r="75" spans="1:28" ht="12.75">
      <c r="A75" s="59" t="s">
        <v>100</v>
      </c>
      <c r="R75" s="48"/>
      <c r="S75" s="58" t="s">
        <v>31</v>
      </c>
      <c r="T75" s="58">
        <v>0.01</v>
      </c>
      <c r="U75" s="58" t="s">
        <v>23</v>
      </c>
      <c r="V75" s="58">
        <f>$G$42/4</f>
        <v>4.244291674999811</v>
      </c>
      <c r="W75" s="19">
        <f>$AA$44-($G$28+$G$26/2)</f>
        <v>5.203867276375979</v>
      </c>
      <c r="X75" s="58" t="s">
        <v>22</v>
      </c>
      <c r="Y75" s="58" t="s">
        <v>23</v>
      </c>
      <c r="Z75" s="37">
        <f>V75+$G$26/2</f>
        <v>4.344291674999811</v>
      </c>
      <c r="AA75" s="27">
        <f>W75</f>
        <v>5.203867276375979</v>
      </c>
      <c r="AB75" s="58" t="s">
        <v>24</v>
      </c>
    </row>
    <row r="76" spans="18:28" ht="12.75">
      <c r="R76" s="48"/>
      <c r="S76" s="58" t="s">
        <v>31</v>
      </c>
      <c r="T76" s="58">
        <v>0.01</v>
      </c>
      <c r="U76" s="58" t="s">
        <v>23</v>
      </c>
      <c r="V76" s="58">
        <v>0</v>
      </c>
      <c r="W76" s="19">
        <f>$AA$44-($G$28+$G$26/2)</f>
        <v>5.203867276375979</v>
      </c>
      <c r="X76" s="58" t="s">
        <v>22</v>
      </c>
      <c r="Y76" s="58" t="s">
        <v>23</v>
      </c>
      <c r="Z76" s="37">
        <f>V76+$G$26/2</f>
        <v>0.1</v>
      </c>
      <c r="AA76" s="27">
        <f>W76</f>
        <v>5.203867276375979</v>
      </c>
      <c r="AB76" s="58" t="s">
        <v>24</v>
      </c>
    </row>
    <row r="77" spans="2:28" ht="12.75">
      <c r="B77" s="1" t="s">
        <v>159</v>
      </c>
      <c r="C77" s="1" t="s">
        <v>33</v>
      </c>
      <c r="D77" s="1" t="s">
        <v>110</v>
      </c>
      <c r="F77" s="1" t="s">
        <v>33</v>
      </c>
      <c r="G77" s="1">
        <v>100</v>
      </c>
      <c r="H77" s="21" t="s">
        <v>99</v>
      </c>
      <c r="R77" s="48"/>
      <c r="S77" s="58" t="s">
        <v>31</v>
      </c>
      <c r="T77" s="58">
        <v>0.01</v>
      </c>
      <c r="U77" s="58" t="s">
        <v>23</v>
      </c>
      <c r="V77" s="58">
        <f>-$G$42/4</f>
        <v>-4.244291674999811</v>
      </c>
      <c r="W77" s="19">
        <f>$AA$44-($G$28+$G$26/2)</f>
        <v>5.203867276375979</v>
      </c>
      <c r="X77" s="58" t="s">
        <v>22</v>
      </c>
      <c r="Y77" s="58" t="s">
        <v>23</v>
      </c>
      <c r="Z77" s="37">
        <f>V77+$G$26/2</f>
        <v>-4.1442916749998115</v>
      </c>
      <c r="AA77" s="27">
        <f>W77</f>
        <v>5.203867276375979</v>
      </c>
      <c r="AB77" s="58" t="s">
        <v>24</v>
      </c>
    </row>
    <row r="78" spans="18:28" ht="12.75">
      <c r="R78" s="48"/>
      <c r="S78" s="58" t="s">
        <v>31</v>
      </c>
      <c r="T78" s="58">
        <v>0.01</v>
      </c>
      <c r="U78" s="58" t="s">
        <v>23</v>
      </c>
      <c r="V78" s="58">
        <f>-$G$42/2+($G$28+$G$26/2)</f>
        <v>-8.288583349999623</v>
      </c>
      <c r="W78" s="19">
        <f>$AA$44-($G$28+$G$26/2)</f>
        <v>5.203867276375979</v>
      </c>
      <c r="X78" s="58" t="s">
        <v>22</v>
      </c>
      <c r="Y78" s="58" t="s">
        <v>23</v>
      </c>
      <c r="Z78" s="37">
        <f>V78+$G$26/2</f>
        <v>-8.188583349999623</v>
      </c>
      <c r="AA78" s="27">
        <f>W78</f>
        <v>5.203867276375979</v>
      </c>
      <c r="AB78" s="58" t="s">
        <v>24</v>
      </c>
    </row>
    <row r="79" spans="1:28" ht="12.75">
      <c r="A79" s="3"/>
      <c r="B79" s="1" t="s">
        <v>78</v>
      </c>
      <c r="C79" s="1" t="s">
        <v>33</v>
      </c>
      <c r="D79" s="1" t="s">
        <v>79</v>
      </c>
      <c r="F79" s="1" t="s">
        <v>33</v>
      </c>
      <c r="G79" s="53">
        <f>377*PI()/(2*G77*SQRT($G$12))</f>
        <v>3.9919468692827516</v>
      </c>
      <c r="I79" s="1" t="s">
        <v>80</v>
      </c>
      <c r="K79" s="1">
        <f>2/PI()*(G79-1-LN(2*G79-1)+($G$12-1)/(2*$G$12)*(LN(G79-1)+0.39-0.61/$G$12))</f>
        <v>0.8773114364026972</v>
      </c>
      <c r="R79" s="48"/>
      <c r="S79" s="58"/>
      <c r="T79" s="58"/>
      <c r="U79" s="58"/>
      <c r="V79" s="58"/>
      <c r="W79" s="58"/>
      <c r="X79" s="58"/>
      <c r="Y79" s="58"/>
      <c r="Z79" s="58"/>
      <c r="AA79" s="58"/>
      <c r="AB79" s="58"/>
    </row>
    <row r="80" spans="1:28" ht="12.75">
      <c r="A80" s="3"/>
      <c r="G80" s="53"/>
      <c r="R80" s="48"/>
      <c r="S80" s="58" t="s">
        <v>31</v>
      </c>
      <c r="T80" s="58">
        <v>0.01</v>
      </c>
      <c r="U80" s="58" t="s">
        <v>23</v>
      </c>
      <c r="V80" s="58">
        <f>$G$42/2-($G$28+$G$26/2)</f>
        <v>8.288583349999623</v>
      </c>
      <c r="W80" s="58">
        <f>$V$9+($Z$9-$V$9)/2</f>
        <v>2.1991545995523714</v>
      </c>
      <c r="X80" s="58" t="s">
        <v>22</v>
      </c>
      <c r="Y80" s="58" t="s">
        <v>23</v>
      </c>
      <c r="Z80" s="37">
        <f>V80+$G$26/2</f>
        <v>8.388583349999623</v>
      </c>
      <c r="AA80" s="27">
        <f>W80</f>
        <v>2.1991545995523714</v>
      </c>
      <c r="AB80" s="58" t="s">
        <v>24</v>
      </c>
    </row>
    <row r="81" spans="2:28" ht="12.75">
      <c r="B81" s="1" t="s">
        <v>63</v>
      </c>
      <c r="C81" s="1" t="s">
        <v>33</v>
      </c>
      <c r="D81" s="1" t="s">
        <v>50</v>
      </c>
      <c r="F81" s="1" t="s">
        <v>33</v>
      </c>
      <c r="G81" s="53">
        <f>G77/60*SQRT(($G$12+1)/2)+($G$12-1)/($G$12+1)*(0.23+0.11/$G$12)</f>
        <v>2.213432963220763</v>
      </c>
      <c r="I81" s="1" t="s">
        <v>52</v>
      </c>
      <c r="K81" s="1">
        <f>8*EXP(G81)/(EXP(2*G81)-2)</f>
        <v>0.8960157285738488</v>
      </c>
      <c r="R81" s="48"/>
      <c r="S81" s="58" t="s">
        <v>31</v>
      </c>
      <c r="T81" s="58">
        <v>0.01</v>
      </c>
      <c r="U81" s="58" t="s">
        <v>23</v>
      </c>
      <c r="V81" s="58">
        <f>-$G$42/2+($G$28+$G$26/2)</f>
        <v>-8.288583349999623</v>
      </c>
      <c r="W81" s="58">
        <f>$V$9+($Z$9-$V$9)/2</f>
        <v>2.1991545995523714</v>
      </c>
      <c r="X81" s="58" t="s">
        <v>22</v>
      </c>
      <c r="Y81" s="58" t="s">
        <v>23</v>
      </c>
      <c r="Z81" s="37">
        <f>V81+$G$26/2</f>
        <v>-8.188583349999623</v>
      </c>
      <c r="AA81" s="27">
        <f>W81</f>
        <v>2.1991545995523714</v>
      </c>
      <c r="AB81" s="58" t="s">
        <v>24</v>
      </c>
    </row>
    <row r="82" spans="19:28" ht="12.75">
      <c r="S82" s="58"/>
      <c r="T82" s="58"/>
      <c r="U82" s="58"/>
      <c r="V82" s="58"/>
      <c r="W82" s="58"/>
      <c r="X82" s="58"/>
      <c r="Y82" s="58"/>
      <c r="Z82" s="58"/>
      <c r="AA82" s="58"/>
      <c r="AB82" s="58"/>
    </row>
    <row r="83" spans="2:28" ht="12.75">
      <c r="B83" s="1" t="s">
        <v>123</v>
      </c>
      <c r="C83" s="1" t="s">
        <v>33</v>
      </c>
      <c r="D83" s="1" t="s">
        <v>124</v>
      </c>
      <c r="F83" s="1" t="s">
        <v>33</v>
      </c>
      <c r="G83" s="49">
        <f>IF(AND(K79&gt;2,K81&gt;2),K79*$G$18,K81*$G$18)</f>
        <v>0.0016386335644158546</v>
      </c>
      <c r="H83" s="21" t="s">
        <v>35</v>
      </c>
      <c r="R83" s="48" t="s">
        <v>189</v>
      </c>
      <c r="S83" s="58" t="s">
        <v>26</v>
      </c>
      <c r="T83" s="37">
        <f>$G$24</f>
        <v>0.05</v>
      </c>
      <c r="U83" s="58" t="s">
        <v>23</v>
      </c>
      <c r="V83" s="58">
        <f>$G$42/2-($G$28+$G$26/2)</f>
        <v>8.288583349999623</v>
      </c>
      <c r="W83" s="58">
        <f>$G$28+$G$26/2</f>
        <v>0.2</v>
      </c>
      <c r="X83" s="58" t="s">
        <v>24</v>
      </c>
      <c r="Y83" s="58"/>
      <c r="Z83" s="37"/>
      <c r="AA83" s="58"/>
      <c r="AB83" s="58"/>
    </row>
    <row r="84" spans="18:28" ht="12.75">
      <c r="R84" s="48"/>
      <c r="S84" s="58" t="s">
        <v>26</v>
      </c>
      <c r="T84" s="37">
        <f>$G$24</f>
        <v>0.05</v>
      </c>
      <c r="U84" s="58" t="s">
        <v>23</v>
      </c>
      <c r="V84" s="58">
        <f>$G$42/4</f>
        <v>4.244291674999811</v>
      </c>
      <c r="W84" s="58">
        <f>$G$28+$G$26/2</f>
        <v>0.2</v>
      </c>
      <c r="X84" s="58" t="s">
        <v>24</v>
      </c>
      <c r="Y84" s="58"/>
      <c r="Z84" s="37"/>
      <c r="AA84" s="58"/>
      <c r="AB84" s="58"/>
    </row>
    <row r="85" spans="1:28" ht="12.75">
      <c r="A85" s="59" t="s">
        <v>179</v>
      </c>
      <c r="R85" s="48"/>
      <c r="S85" s="58" t="s">
        <v>26</v>
      </c>
      <c r="T85" s="37">
        <f>$G$24</f>
        <v>0.05</v>
      </c>
      <c r="U85" s="58" t="s">
        <v>23</v>
      </c>
      <c r="V85" s="58">
        <v>0</v>
      </c>
      <c r="W85" s="58">
        <f>$G$28+$G$26/2</f>
        <v>0.2</v>
      </c>
      <c r="X85" s="58" t="s">
        <v>24</v>
      </c>
      <c r="Y85" s="58"/>
      <c r="Z85" s="37"/>
      <c r="AA85" s="58"/>
      <c r="AB85" s="58"/>
    </row>
    <row r="86" spans="18:28" ht="12.75">
      <c r="R86" s="48"/>
      <c r="S86" s="58" t="s">
        <v>26</v>
      </c>
      <c r="T86" s="37">
        <f>$G$24</f>
        <v>0.05</v>
      </c>
      <c r="U86" s="58" t="s">
        <v>23</v>
      </c>
      <c r="V86" s="58">
        <f>-$G$42/4</f>
        <v>-4.244291674999811</v>
      </c>
      <c r="W86" s="58">
        <f>$G$28+$G$26/2</f>
        <v>0.2</v>
      </c>
      <c r="X86" s="58" t="s">
        <v>24</v>
      </c>
      <c r="Y86" s="58"/>
      <c r="Z86" s="37"/>
      <c r="AA86" s="58"/>
      <c r="AB86" s="58"/>
    </row>
    <row r="87" spans="2:28" ht="12.75">
      <c r="B87" s="1" t="s">
        <v>78</v>
      </c>
      <c r="C87" s="1" t="s">
        <v>33</v>
      </c>
      <c r="D87" s="1" t="s">
        <v>79</v>
      </c>
      <c r="F87" s="1" t="s">
        <v>33</v>
      </c>
      <c r="G87" s="53">
        <f>377*PI()/(2*$G$44*SQRT($G$12))</f>
        <v>2.9983991820345337</v>
      </c>
      <c r="I87" s="1" t="s">
        <v>80</v>
      </c>
      <c r="K87" s="1">
        <f>2/PI()*(G87-1-LN(2*G87-1)+($G$12-1)/(2*$G$12)*(LN(G87-1)+0.39-0.61/$G$12))</f>
        <v>0.38785736398259846</v>
      </c>
      <c r="R87" s="48"/>
      <c r="S87" s="58" t="s">
        <v>26</v>
      </c>
      <c r="T87" s="37">
        <f>$G$24</f>
        <v>0.05</v>
      </c>
      <c r="U87" s="58" t="s">
        <v>23</v>
      </c>
      <c r="V87" s="58">
        <f>-$G$42/2+($G$28+$G$26/2)</f>
        <v>-8.288583349999623</v>
      </c>
      <c r="W87" s="58">
        <f>$G$28+$G$26/2</f>
        <v>0.2</v>
      </c>
      <c r="X87" s="58" t="s">
        <v>24</v>
      </c>
      <c r="Y87" s="58"/>
      <c r="Z87" s="37"/>
      <c r="AA87" s="58"/>
      <c r="AB87" s="58"/>
    </row>
    <row r="88" spans="2:28" ht="12.75">
      <c r="B88" s="1" t="s">
        <v>49</v>
      </c>
      <c r="C88" s="1" t="s">
        <v>33</v>
      </c>
      <c r="D88" s="1" t="s">
        <v>50</v>
      </c>
      <c r="F88" s="1" t="s">
        <v>33</v>
      </c>
      <c r="G88" s="53">
        <f>$G$44/60*SQRT(($G$12+1)/2)+($G$12-1)/($G$12+1)*(0.23+0.11/$G$12)</f>
        <v>2.912071904413113</v>
      </c>
      <c r="I88" s="1" t="s">
        <v>52</v>
      </c>
      <c r="K88" s="1">
        <f>8*EXP(G88)/(EXP(2*G88)-2)</f>
        <v>0.4374896814129764</v>
      </c>
      <c r="R88" s="48"/>
      <c r="S88" s="58"/>
      <c r="T88" s="58"/>
      <c r="U88" s="58"/>
      <c r="V88" s="58"/>
      <c r="W88" s="58"/>
      <c r="X88" s="58"/>
      <c r="Y88" s="58"/>
      <c r="Z88" s="58"/>
      <c r="AA88" s="58"/>
      <c r="AB88" s="58"/>
    </row>
    <row r="89" spans="18:28" ht="12.75">
      <c r="R89" s="48"/>
      <c r="S89" s="58" t="s">
        <v>26</v>
      </c>
      <c r="T89" s="37">
        <f>$G$24</f>
        <v>0.05</v>
      </c>
      <c r="U89" s="58" t="s">
        <v>23</v>
      </c>
      <c r="V89" s="58">
        <f>$G$42/2-($G$28+$G$26/2)</f>
        <v>8.288583349999623</v>
      </c>
      <c r="W89" s="19">
        <f>$AA$44-($G$28+$G$26/2)</f>
        <v>5.203867276375979</v>
      </c>
      <c r="X89" s="58" t="s">
        <v>24</v>
      </c>
      <c r="Y89" s="58"/>
      <c r="Z89" s="37"/>
      <c r="AA89" s="58"/>
      <c r="AB89" s="58"/>
    </row>
    <row r="90" spans="2:28" ht="12.75">
      <c r="B90" s="1" t="s">
        <v>114</v>
      </c>
      <c r="C90" s="1" t="s">
        <v>33</v>
      </c>
      <c r="D90" s="1" t="s">
        <v>115</v>
      </c>
      <c r="F90" s="1" t="s">
        <v>33</v>
      </c>
      <c r="G90" s="49">
        <f>IF(AND(K87&gt;2,K88&gt;2),K87*$G$18,K88*$G$18)</f>
        <v>0.0008000811293680511</v>
      </c>
      <c r="H90" s="21" t="s">
        <v>35</v>
      </c>
      <c r="R90" s="48"/>
      <c r="S90" s="58" t="s">
        <v>26</v>
      </c>
      <c r="T90" s="37">
        <f>$G$24</f>
        <v>0.05</v>
      </c>
      <c r="U90" s="58" t="s">
        <v>23</v>
      </c>
      <c r="V90" s="58">
        <f>$G$42/4</f>
        <v>4.244291674999811</v>
      </c>
      <c r="W90" s="19">
        <f>$AA$44-($G$28+$G$26/2)</f>
        <v>5.203867276375979</v>
      </c>
      <c r="X90" s="58" t="s">
        <v>24</v>
      </c>
      <c r="Y90" s="58"/>
      <c r="Z90" s="37"/>
      <c r="AA90" s="58"/>
      <c r="AB90" s="58"/>
    </row>
    <row r="91" spans="18:28" ht="12.75">
      <c r="R91" s="48"/>
      <c r="S91" s="58" t="s">
        <v>26</v>
      </c>
      <c r="T91" s="37">
        <f>$G$24</f>
        <v>0.05</v>
      </c>
      <c r="U91" s="58" t="s">
        <v>23</v>
      </c>
      <c r="V91" s="58">
        <v>0</v>
      </c>
      <c r="W91" s="19">
        <f>$AA$44-($G$28+$G$26/2)</f>
        <v>5.203867276375979</v>
      </c>
      <c r="X91" s="58" t="s">
        <v>24</v>
      </c>
      <c r="Y91" s="58"/>
      <c r="Z91" s="37"/>
      <c r="AA91" s="58"/>
      <c r="AB91" s="58"/>
    </row>
    <row r="92" spans="1:28" ht="12.75">
      <c r="A92" s="59" t="s">
        <v>30</v>
      </c>
      <c r="R92" s="48"/>
      <c r="S92" s="58" t="s">
        <v>26</v>
      </c>
      <c r="T92" s="37">
        <f>$G$24</f>
        <v>0.05</v>
      </c>
      <c r="U92" s="58" t="s">
        <v>23</v>
      </c>
      <c r="V92" s="58">
        <f>-$G$42/4</f>
        <v>-4.244291674999811</v>
      </c>
      <c r="W92" s="19">
        <f>$AA$44-($G$28+$G$26/2)</f>
        <v>5.203867276375979</v>
      </c>
      <c r="X92" s="58" t="s">
        <v>24</v>
      </c>
      <c r="Y92" s="58"/>
      <c r="Z92" s="37"/>
      <c r="AA92" s="58"/>
      <c r="AB92" s="58"/>
    </row>
    <row r="93" spans="18:28" ht="12.75">
      <c r="R93" s="48"/>
      <c r="S93" s="58" t="s">
        <v>26</v>
      </c>
      <c r="T93" s="37">
        <f>$G$24</f>
        <v>0.05</v>
      </c>
      <c r="U93" s="58" t="s">
        <v>23</v>
      </c>
      <c r="V93" s="58">
        <f>-$G$42/2+($G$28+$G$26/2)</f>
        <v>-8.288583349999623</v>
      </c>
      <c r="W93" s="19">
        <f>$AA$44-($G$28+$G$26/2)</f>
        <v>5.203867276375979</v>
      </c>
      <c r="X93" s="58" t="s">
        <v>24</v>
      </c>
      <c r="Y93" s="58"/>
      <c r="Z93" s="37"/>
      <c r="AA93" s="58"/>
      <c r="AB93" s="58"/>
    </row>
    <row r="94" spans="2:28" ht="12.75">
      <c r="B94" s="1" t="s">
        <v>64</v>
      </c>
      <c r="C94" s="1" t="s">
        <v>33</v>
      </c>
      <c r="D94" s="1" t="s">
        <v>98</v>
      </c>
      <c r="F94" s="1" t="s">
        <v>33</v>
      </c>
      <c r="G94" s="53">
        <f>SQRT(100*50)</f>
        <v>70.71067811865476</v>
      </c>
      <c r="H94" s="21" t="s">
        <v>99</v>
      </c>
      <c r="R94" s="48"/>
      <c r="S94" s="58"/>
      <c r="T94" s="58"/>
      <c r="U94" s="58"/>
      <c r="V94" s="58"/>
      <c r="W94" s="58"/>
      <c r="X94" s="58"/>
      <c r="Y94" s="58"/>
      <c r="Z94" s="58"/>
      <c r="AA94" s="58"/>
      <c r="AB94" s="58"/>
    </row>
    <row r="95" spans="18:28" ht="12.75">
      <c r="R95" s="48"/>
      <c r="S95" s="58" t="s">
        <v>26</v>
      </c>
      <c r="T95" s="37">
        <f>$G$24</f>
        <v>0.05</v>
      </c>
      <c r="U95" s="58" t="s">
        <v>23</v>
      </c>
      <c r="V95" s="58">
        <f>$G$42/2-($G$28+$G$26/2)</f>
        <v>8.288583349999623</v>
      </c>
      <c r="W95" s="58">
        <f>$V$9+($Z$9-$V$9)/2</f>
        <v>2.1991545995523714</v>
      </c>
      <c r="X95" s="58" t="s">
        <v>24</v>
      </c>
      <c r="Y95" s="58"/>
      <c r="Z95" s="37"/>
      <c r="AA95" s="58"/>
      <c r="AB95" s="58"/>
    </row>
    <row r="96" spans="2:28" ht="12.75">
      <c r="B96" s="1" t="s">
        <v>78</v>
      </c>
      <c r="C96" s="1" t="s">
        <v>33</v>
      </c>
      <c r="D96" s="1" t="s">
        <v>79</v>
      </c>
      <c r="F96" s="1" t="s">
        <v>33</v>
      </c>
      <c r="G96" s="53">
        <f>377*PI()/(2*G94*SQRT($G$12))</f>
        <v>5.6454654028124835</v>
      </c>
      <c r="I96" s="1" t="s">
        <v>80</v>
      </c>
      <c r="K96" s="1">
        <f>2/PI()*(G96-1-LN(2*G96-1)+($G$12-1)/(2*$G$12)*(LN(G96-1)+0.39-0.61/$G$12))</f>
        <v>1.7595920795056181</v>
      </c>
      <c r="R96" s="48"/>
      <c r="S96" s="58" t="s">
        <v>26</v>
      </c>
      <c r="T96" s="37">
        <f>$G$24</f>
        <v>0.05</v>
      </c>
      <c r="U96" s="58" t="s">
        <v>23</v>
      </c>
      <c r="V96" s="58">
        <f>-$G$42/2+($G$28+$G$26/2)</f>
        <v>-8.288583349999623</v>
      </c>
      <c r="W96" s="58">
        <f>$V$9+($Z$9-$V$9)/2</f>
        <v>2.1991545995523714</v>
      </c>
      <c r="X96" s="58" t="s">
        <v>24</v>
      </c>
      <c r="Y96" s="58"/>
      <c r="Z96" s="37"/>
      <c r="AA96" s="58"/>
      <c r="AB96" s="58"/>
    </row>
    <row r="97" spans="2:28" ht="12.75">
      <c r="B97" s="1" t="s">
        <v>63</v>
      </c>
      <c r="C97" s="1" t="s">
        <v>33</v>
      </c>
      <c r="D97" s="1" t="s">
        <v>50</v>
      </c>
      <c r="F97" s="1" t="s">
        <v>33</v>
      </c>
      <c r="G97" s="53">
        <f>G94/60*SQRT(($G$12+1)/2)+($G$12-1)/($G$12+1)*(0.23+0.11/$G$12)</f>
        <v>1.595896167809022</v>
      </c>
      <c r="I97" s="1" t="s">
        <v>52</v>
      </c>
      <c r="K97" s="1">
        <f>8*EXP(G97)/(EXP(2*G97)-2)</f>
        <v>1.7670599224775214</v>
      </c>
      <c r="S97" s="58"/>
      <c r="T97" s="58"/>
      <c r="U97" s="58"/>
      <c r="V97" s="58"/>
      <c r="W97" s="58"/>
      <c r="X97" s="58"/>
      <c r="Y97" s="58"/>
      <c r="Z97" s="37"/>
      <c r="AA97" s="58"/>
      <c r="AB97" s="58"/>
    </row>
    <row r="98" spans="18:28" ht="12.75">
      <c r="R98" s="48" t="s">
        <v>203</v>
      </c>
      <c r="S98" s="58" t="s">
        <v>149</v>
      </c>
      <c r="T98" s="58" t="s">
        <v>204</v>
      </c>
      <c r="U98" s="58"/>
      <c r="V98" s="58"/>
      <c r="W98" s="58"/>
      <c r="X98" s="58"/>
      <c r="Y98" s="58"/>
      <c r="Z98" s="58"/>
      <c r="AA98" s="58"/>
      <c r="AB98" s="58"/>
    </row>
    <row r="99" spans="2:28" ht="12.75">
      <c r="B99" s="1" t="s">
        <v>95</v>
      </c>
      <c r="C99" s="1" t="s">
        <v>33</v>
      </c>
      <c r="D99" s="1" t="s">
        <v>169</v>
      </c>
      <c r="F99" s="1" t="s">
        <v>33</v>
      </c>
      <c r="G99" s="49">
        <f>IF(AND(K96&gt;2,K97&gt;2),K96*$G$18,K97*$G$18)</f>
        <v>0.0032315991862268906</v>
      </c>
      <c r="H99" s="21" t="s">
        <v>35</v>
      </c>
      <c r="R99" s="48"/>
      <c r="S99" s="58" t="s">
        <v>31</v>
      </c>
      <c r="T99" s="58">
        <v>0.01</v>
      </c>
      <c r="U99" s="58" t="s">
        <v>23</v>
      </c>
      <c r="V99" s="58">
        <f>V41</f>
        <v>0</v>
      </c>
      <c r="W99" s="58">
        <f>$W$41</f>
        <v>4.632966149385558</v>
      </c>
      <c r="X99" s="58" t="s">
        <v>22</v>
      </c>
      <c r="Y99" s="58" t="s">
        <v>23</v>
      </c>
      <c r="Z99" s="58">
        <f>V99+1/2*0.5</f>
        <v>0.25</v>
      </c>
      <c r="AA99" s="58">
        <f>W99</f>
        <v>4.632966149385558</v>
      </c>
      <c r="AB99" s="58" t="s">
        <v>24</v>
      </c>
    </row>
    <row r="100" spans="2:28" ht="12.75">
      <c r="B100" s="1" t="s">
        <v>60</v>
      </c>
      <c r="C100" s="1" t="s">
        <v>33</v>
      </c>
      <c r="D100" s="1" t="s">
        <v>61</v>
      </c>
      <c r="F100" s="1" t="s">
        <v>33</v>
      </c>
      <c r="G100" s="52">
        <f>($G$12+1)/2+($G$12-1)/2/SQRT(1+12/($G$18/G99))</f>
        <v>1.7277294066212427</v>
      </c>
      <c r="R100" s="48"/>
      <c r="S100" s="58"/>
      <c r="T100" s="58"/>
      <c r="U100" s="58"/>
      <c r="V100" s="58"/>
      <c r="W100" s="58"/>
      <c r="X100" s="58"/>
      <c r="Y100" s="58"/>
      <c r="Z100" s="58"/>
      <c r="AA100" s="58"/>
      <c r="AB100" s="58"/>
    </row>
    <row r="101" spans="2:28" ht="12.75">
      <c r="B101" s="1" t="s">
        <v>89</v>
      </c>
      <c r="C101" s="1" t="s">
        <v>33</v>
      </c>
      <c r="D101" s="1" t="s">
        <v>90</v>
      </c>
      <c r="F101" s="1" t="s">
        <v>33</v>
      </c>
      <c r="G101" s="49">
        <f>$M$36/SQRT(G100)</f>
        <v>0.18198899515270756</v>
      </c>
      <c r="H101" s="21" t="s">
        <v>35</v>
      </c>
      <c r="R101" s="48"/>
      <c r="S101" s="58" t="s">
        <v>31</v>
      </c>
      <c r="T101" s="58">
        <v>0.01</v>
      </c>
      <c r="U101" s="58" t="s">
        <v>23</v>
      </c>
      <c r="V101" s="58">
        <f>$G$42/2-($G$28+$G$26/2)</f>
        <v>8.288583349999623</v>
      </c>
      <c r="W101" s="58">
        <f>$G$28+$G$26/2</f>
        <v>0.2</v>
      </c>
      <c r="X101" s="58" t="s">
        <v>22</v>
      </c>
      <c r="Y101" s="58" t="s">
        <v>23</v>
      </c>
      <c r="Z101" s="37">
        <f>V101+$G$27/2</f>
        <v>8.333083349999622</v>
      </c>
      <c r="AA101" s="58">
        <f>W101</f>
        <v>0.2</v>
      </c>
      <c r="AB101" s="58" t="s">
        <v>24</v>
      </c>
    </row>
    <row r="102" spans="2:28" ht="12.75">
      <c r="B102" s="1" t="s">
        <v>119</v>
      </c>
      <c r="C102" s="1" t="s">
        <v>33</v>
      </c>
      <c r="D102" s="1" t="s">
        <v>39</v>
      </c>
      <c r="F102" s="1" t="s">
        <v>33</v>
      </c>
      <c r="G102" s="49">
        <f>G101/4</f>
        <v>0.04549724878817689</v>
      </c>
      <c r="H102" s="21" t="s">
        <v>35</v>
      </c>
      <c r="R102" s="48"/>
      <c r="S102" s="58" t="s">
        <v>31</v>
      </c>
      <c r="T102" s="58">
        <v>0.01</v>
      </c>
      <c r="U102" s="58" t="s">
        <v>23</v>
      </c>
      <c r="V102" s="58">
        <f>$G$42/4</f>
        <v>4.244291674999811</v>
      </c>
      <c r="W102" s="58">
        <f>$G$28+$G$26/2</f>
        <v>0.2</v>
      </c>
      <c r="X102" s="58" t="s">
        <v>22</v>
      </c>
      <c r="Y102" s="58" t="s">
        <v>23</v>
      </c>
      <c r="Z102" s="37">
        <f>V102+$G$27/2</f>
        <v>4.288791674999811</v>
      </c>
      <c r="AA102" s="58">
        <f>W102</f>
        <v>0.2</v>
      </c>
      <c r="AB102" s="58" t="s">
        <v>24</v>
      </c>
    </row>
    <row r="103" spans="7:28" ht="12.75">
      <c r="G103" s="49"/>
      <c r="R103" s="48"/>
      <c r="S103" s="58" t="s">
        <v>31</v>
      </c>
      <c r="T103" s="58">
        <v>0.01</v>
      </c>
      <c r="U103" s="58" t="s">
        <v>23</v>
      </c>
      <c r="V103" s="58">
        <v>0</v>
      </c>
      <c r="W103" s="58">
        <f>$G$28+$G$26/2</f>
        <v>0.2</v>
      </c>
      <c r="X103" s="58" t="s">
        <v>22</v>
      </c>
      <c r="Y103" s="58" t="s">
        <v>23</v>
      </c>
      <c r="Z103" s="37">
        <f>V103+$G$27/2</f>
        <v>0.0445</v>
      </c>
      <c r="AA103" s="58">
        <f>W103</f>
        <v>0.2</v>
      </c>
      <c r="AB103" s="58" t="s">
        <v>24</v>
      </c>
    </row>
    <row r="104" spans="1:28" ht="12.75">
      <c r="A104" s="59" t="s">
        <v>241</v>
      </c>
      <c r="R104" s="48"/>
      <c r="S104" s="58" t="s">
        <v>31</v>
      </c>
      <c r="T104" s="58">
        <v>0.01</v>
      </c>
      <c r="U104" s="58" t="s">
        <v>23</v>
      </c>
      <c r="V104" s="58">
        <f>-$G$42/4</f>
        <v>-4.244291674999811</v>
      </c>
      <c r="W104" s="58">
        <f>$G$28+$G$26/2</f>
        <v>0.2</v>
      </c>
      <c r="X104" s="58" t="s">
        <v>22</v>
      </c>
      <c r="Y104" s="58" t="s">
        <v>23</v>
      </c>
      <c r="Z104" s="37">
        <f>V104+$G$27/2</f>
        <v>-4.199791674999811</v>
      </c>
      <c r="AA104" s="58">
        <f>W104</f>
        <v>0.2</v>
      </c>
      <c r="AB104" s="58" t="s">
        <v>24</v>
      </c>
    </row>
    <row r="105" spans="18:28" ht="12.75">
      <c r="R105" s="48"/>
      <c r="S105" s="58" t="s">
        <v>31</v>
      </c>
      <c r="T105" s="58">
        <v>0.01</v>
      </c>
      <c r="U105" s="58" t="s">
        <v>23</v>
      </c>
      <c r="V105" s="58">
        <f>-$G$42/2+($G$28+$G$26/2)</f>
        <v>-8.288583349999623</v>
      </c>
      <c r="W105" s="58">
        <f>$G$28+$G$26/2</f>
        <v>0.2</v>
      </c>
      <c r="X105" s="58" t="s">
        <v>22</v>
      </c>
      <c r="Y105" s="58" t="s">
        <v>23</v>
      </c>
      <c r="Z105" s="37">
        <f>V105+$G$27/2</f>
        <v>-8.244083349999624</v>
      </c>
      <c r="AA105" s="58">
        <f>W105</f>
        <v>0.2</v>
      </c>
      <c r="AB105" s="58" t="s">
        <v>24</v>
      </c>
    </row>
    <row r="106" spans="2:28" ht="12.75">
      <c r="B106" s="1" t="s">
        <v>227</v>
      </c>
      <c r="C106" s="1" t="s">
        <v>33</v>
      </c>
      <c r="D106" s="1" t="s">
        <v>98</v>
      </c>
      <c r="F106" s="1" t="s">
        <v>33</v>
      </c>
      <c r="G106" s="53">
        <f>SQRT(100*$G$44)</f>
        <v>115.38454739541122</v>
      </c>
      <c r="H106" s="21" t="s">
        <v>99</v>
      </c>
      <c r="R106" s="48"/>
      <c r="S106" s="58"/>
      <c r="T106" s="58"/>
      <c r="U106" s="58"/>
      <c r="V106" s="58"/>
      <c r="W106" s="58"/>
      <c r="X106" s="58"/>
      <c r="Y106" s="58"/>
      <c r="Z106" s="58"/>
      <c r="AA106" s="58"/>
      <c r="AB106" s="58"/>
    </row>
    <row r="107" spans="18:28" ht="12.75">
      <c r="R107" s="48"/>
      <c r="S107" s="58" t="s">
        <v>31</v>
      </c>
      <c r="T107" s="58">
        <v>0.01</v>
      </c>
      <c r="U107" s="58" t="s">
        <v>23</v>
      </c>
      <c r="V107" s="58">
        <f>$G$42/2-($G$28+$G$26/2)</f>
        <v>8.288583349999623</v>
      </c>
      <c r="W107" s="19">
        <f>$AA$44-($G$28+$G$26/2)</f>
        <v>5.203867276375979</v>
      </c>
      <c r="X107" s="58" t="s">
        <v>22</v>
      </c>
      <c r="Y107" s="58" t="s">
        <v>23</v>
      </c>
      <c r="Z107" s="37">
        <f>V107+$G$27/2</f>
        <v>8.333083349999622</v>
      </c>
      <c r="AA107" s="58">
        <f>W107</f>
        <v>5.203867276375979</v>
      </c>
      <c r="AB107" s="58" t="s">
        <v>24</v>
      </c>
    </row>
    <row r="108" spans="2:28" ht="12.75">
      <c r="B108" s="1" t="s">
        <v>78</v>
      </c>
      <c r="C108" s="1" t="s">
        <v>33</v>
      </c>
      <c r="D108" s="1" t="s">
        <v>79</v>
      </c>
      <c r="F108" s="1" t="s">
        <v>33</v>
      </c>
      <c r="G108" s="53">
        <f>377*PI()/(2*G106*SQRT($G$12))</f>
        <v>3.459689325298258</v>
      </c>
      <c r="I108" s="1" t="s">
        <v>80</v>
      </c>
      <c r="K108" s="1">
        <f>2/PI()*(G108-1-LN(2*G108-1)+($G$12-1)/(2*$G$12)*(LN(G108-1)+0.39-0.61/$G$12))</f>
        <v>0.6097273376030687</v>
      </c>
      <c r="R108" s="48"/>
      <c r="S108" s="58" t="s">
        <v>31</v>
      </c>
      <c r="T108" s="58">
        <v>0.01</v>
      </c>
      <c r="U108" s="58" t="s">
        <v>23</v>
      </c>
      <c r="V108" s="58">
        <f>$G$42/4</f>
        <v>4.244291674999811</v>
      </c>
      <c r="W108" s="19">
        <f>$AA$44-($G$28+$G$26/2)</f>
        <v>5.203867276375979</v>
      </c>
      <c r="X108" s="58" t="s">
        <v>22</v>
      </c>
      <c r="Y108" s="58" t="s">
        <v>23</v>
      </c>
      <c r="Z108" s="37">
        <f>V108+$G$27/2</f>
        <v>4.288791674999811</v>
      </c>
      <c r="AA108" s="58">
        <f>W108</f>
        <v>5.203867276375979</v>
      </c>
      <c r="AB108" s="58" t="s">
        <v>24</v>
      </c>
    </row>
    <row r="109" spans="2:28" ht="12.75">
      <c r="B109" s="1" t="s">
        <v>63</v>
      </c>
      <c r="C109" s="1" t="s">
        <v>33</v>
      </c>
      <c r="D109" s="1" t="s">
        <v>50</v>
      </c>
      <c r="F109" s="1" t="s">
        <v>33</v>
      </c>
      <c r="G109" s="53">
        <f>G106/60*SQRT(($G$12+1)/2)+($G$12-1)/($G$12+1)*(0.23+0.11/$G$12)</f>
        <v>2.537801145451479</v>
      </c>
      <c r="I109" s="1" t="s">
        <v>52</v>
      </c>
      <c r="K109" s="1">
        <f>8*EXP(G109)/(EXP(2*G109)-2)</f>
        <v>0.6403206297267566</v>
      </c>
      <c r="R109" s="48"/>
      <c r="S109" s="58" t="s">
        <v>31</v>
      </c>
      <c r="T109" s="58">
        <v>0.01</v>
      </c>
      <c r="U109" s="58" t="s">
        <v>23</v>
      </c>
      <c r="V109" s="58">
        <v>0</v>
      </c>
      <c r="W109" s="19">
        <f>$AA$44-($G$28+$G$26/2)</f>
        <v>5.203867276375979</v>
      </c>
      <c r="X109" s="58" t="s">
        <v>22</v>
      </c>
      <c r="Y109" s="58" t="s">
        <v>23</v>
      </c>
      <c r="Z109" s="37">
        <f>V109+$G$27/2</f>
        <v>0.0445</v>
      </c>
      <c r="AA109" s="58">
        <f>W109</f>
        <v>5.203867276375979</v>
      </c>
      <c r="AB109" s="58" t="s">
        <v>24</v>
      </c>
    </row>
    <row r="110" spans="18:28" ht="12.75">
      <c r="R110" s="48"/>
      <c r="S110" s="58" t="s">
        <v>31</v>
      </c>
      <c r="T110" s="58">
        <v>0.01</v>
      </c>
      <c r="U110" s="58" t="s">
        <v>23</v>
      </c>
      <c r="V110" s="58">
        <f>-$G$42/4</f>
        <v>-4.244291674999811</v>
      </c>
      <c r="W110" s="19">
        <f>$AA$44-($G$28+$G$26/2)</f>
        <v>5.203867276375979</v>
      </c>
      <c r="X110" s="58" t="s">
        <v>22</v>
      </c>
      <c r="Y110" s="58" t="s">
        <v>23</v>
      </c>
      <c r="Z110" s="37">
        <f>V110+$G$27/2</f>
        <v>-4.199791674999811</v>
      </c>
      <c r="AA110" s="58">
        <f>W110</f>
        <v>5.203867276375979</v>
      </c>
      <c r="AB110" s="58" t="s">
        <v>24</v>
      </c>
    </row>
    <row r="111" spans="2:28" ht="12.75">
      <c r="B111" s="1" t="s">
        <v>168</v>
      </c>
      <c r="C111" s="1" t="s">
        <v>33</v>
      </c>
      <c r="D111" s="1" t="s">
        <v>169</v>
      </c>
      <c r="F111" s="1" t="s">
        <v>33</v>
      </c>
      <c r="G111" s="49">
        <f>IF(AND(K108&gt;2,K109&gt;2),K108*$G$18,K109*$G$18)</f>
        <v>0.0011710183676442924</v>
      </c>
      <c r="H111" s="21" t="s">
        <v>35</v>
      </c>
      <c r="R111" s="48"/>
      <c r="S111" s="58" t="s">
        <v>31</v>
      </c>
      <c r="T111" s="58">
        <v>0.01</v>
      </c>
      <c r="U111" s="58" t="s">
        <v>23</v>
      </c>
      <c r="V111" s="58">
        <f>-$G$42/2+($G$28+$G$26/2)</f>
        <v>-8.288583349999623</v>
      </c>
      <c r="W111" s="19">
        <f>$AA$44-($G$28+$G$26/2)</f>
        <v>5.203867276375979</v>
      </c>
      <c r="X111" s="58" t="s">
        <v>22</v>
      </c>
      <c r="Y111" s="58" t="s">
        <v>23</v>
      </c>
      <c r="Z111" s="37">
        <f>V111+$G$27/2</f>
        <v>-8.244083349999624</v>
      </c>
      <c r="AA111" s="58">
        <f>W111</f>
        <v>5.203867276375979</v>
      </c>
      <c r="AB111" s="58" t="s">
        <v>24</v>
      </c>
    </row>
    <row r="112" spans="2:28" ht="12.75">
      <c r="B112" s="1" t="s">
        <v>60</v>
      </c>
      <c r="C112" s="1" t="s">
        <v>33</v>
      </c>
      <c r="D112" s="1" t="s">
        <v>61</v>
      </c>
      <c r="F112" s="1" t="s">
        <v>33</v>
      </c>
      <c r="G112" s="52">
        <f>($G$12+1)/2+($G$12-1)/2/SQRT(1+12/(G111/$G$18))</f>
        <v>1.7354469236390964</v>
      </c>
      <c r="R112" s="48"/>
      <c r="S112" s="58"/>
      <c r="T112" s="58"/>
      <c r="U112" s="58"/>
      <c r="V112" s="58"/>
      <c r="W112" s="58"/>
      <c r="X112" s="58"/>
      <c r="Y112" s="58"/>
      <c r="Z112" s="58"/>
      <c r="AA112" s="58"/>
      <c r="AB112" s="58"/>
    </row>
    <row r="113" spans="2:28" ht="12.75">
      <c r="B113" s="1" t="s">
        <v>225</v>
      </c>
      <c r="C113" s="1" t="s">
        <v>33</v>
      </c>
      <c r="D113" s="1" t="s">
        <v>90</v>
      </c>
      <c r="F113" s="1" t="s">
        <v>33</v>
      </c>
      <c r="G113" s="49">
        <f>M36/SQRT(G112)</f>
        <v>0.1815838925584321</v>
      </c>
      <c r="H113" s="21" t="s">
        <v>35</v>
      </c>
      <c r="R113" s="48"/>
      <c r="S113" s="58" t="s">
        <v>31</v>
      </c>
      <c r="T113" s="58">
        <v>0.01</v>
      </c>
      <c r="U113" s="58" t="s">
        <v>23</v>
      </c>
      <c r="V113" s="58">
        <f>$G$42/2-($G$28+$G$26/2)</f>
        <v>8.288583349999623</v>
      </c>
      <c r="W113" s="58">
        <f>$V$9+($Z$9-$V$9)/2</f>
        <v>2.1991545995523714</v>
      </c>
      <c r="X113" s="58" t="s">
        <v>22</v>
      </c>
      <c r="Y113" s="58" t="s">
        <v>23</v>
      </c>
      <c r="Z113" s="37">
        <f>V113+$G$27/2</f>
        <v>8.333083349999622</v>
      </c>
      <c r="AA113" s="58">
        <f>W113</f>
        <v>2.1991545995523714</v>
      </c>
      <c r="AB113" s="58" t="s">
        <v>24</v>
      </c>
    </row>
    <row r="114" spans="2:28" ht="12.75">
      <c r="B114" s="1" t="s">
        <v>38</v>
      </c>
      <c r="C114" s="1" t="s">
        <v>33</v>
      </c>
      <c r="D114" s="1" t="s">
        <v>39</v>
      </c>
      <c r="F114" s="1" t="s">
        <v>33</v>
      </c>
      <c r="G114" s="49">
        <f>G113/4</f>
        <v>0.045395973139608026</v>
      </c>
      <c r="H114" s="21" t="s">
        <v>35</v>
      </c>
      <c r="R114" s="48"/>
      <c r="S114" s="58" t="s">
        <v>31</v>
      </c>
      <c r="T114" s="58">
        <v>0.01</v>
      </c>
      <c r="U114" s="58" t="s">
        <v>23</v>
      </c>
      <c r="V114" s="58">
        <f>-$G$42/2+($G$28+$G$26/2)</f>
        <v>-8.288583349999623</v>
      </c>
      <c r="W114" s="58">
        <f>$V$9+($Z$9-$V$9)/2</f>
        <v>2.1991545995523714</v>
      </c>
      <c r="X114" s="58" t="s">
        <v>22</v>
      </c>
      <c r="Y114" s="58" t="s">
        <v>23</v>
      </c>
      <c r="Z114" s="37">
        <f>V114+$G$27/2</f>
        <v>-8.244083349999624</v>
      </c>
      <c r="AA114" s="58">
        <f>W114</f>
        <v>2.1991545995523714</v>
      </c>
      <c r="AB114" s="58" t="s">
        <v>24</v>
      </c>
    </row>
    <row r="115" spans="19:28" ht="12.75">
      <c r="S115" s="58"/>
      <c r="T115" s="58"/>
      <c r="U115" s="58"/>
      <c r="V115" s="58"/>
      <c r="W115" s="58"/>
      <c r="X115" s="58"/>
      <c r="Y115" s="58"/>
      <c r="Z115" s="58"/>
      <c r="AA115" s="58"/>
      <c r="AB115" s="58"/>
    </row>
    <row r="116" spans="1:28" ht="12.75">
      <c r="A116" s="8"/>
      <c r="B116" s="8" t="s">
        <v>101</v>
      </c>
      <c r="C116" s="8"/>
      <c r="D116" s="8"/>
      <c r="E116" s="8"/>
      <c r="F116" s="8"/>
      <c r="G116" s="8"/>
      <c r="H116" s="16"/>
      <c r="I116" s="8"/>
      <c r="J116" s="8"/>
      <c r="K116" s="8"/>
      <c r="L116" s="8"/>
      <c r="M116" s="8"/>
      <c r="N116" s="8"/>
      <c r="O116" s="8"/>
      <c r="P116" s="8"/>
      <c r="R116" s="48" t="s">
        <v>91</v>
      </c>
      <c r="S116" s="23" t="s">
        <v>92</v>
      </c>
      <c r="T116" s="58"/>
      <c r="U116" s="58"/>
      <c r="V116" s="58"/>
      <c r="W116" s="58"/>
      <c r="X116" s="58"/>
      <c r="Y116" s="58"/>
      <c r="Z116" s="58"/>
      <c r="AA116" s="58"/>
      <c r="AB116" s="58"/>
    </row>
    <row r="117" spans="18:28" ht="12.75">
      <c r="R117" s="48"/>
      <c r="S117" s="23" t="s">
        <v>120</v>
      </c>
      <c r="T117" s="58"/>
      <c r="U117" s="58"/>
      <c r="V117" s="58"/>
      <c r="W117" s="58"/>
      <c r="X117" s="58"/>
      <c r="Y117" s="58"/>
      <c r="Z117" s="58"/>
      <c r="AA117" s="58"/>
      <c r="AB117" s="58"/>
    </row>
    <row r="118" spans="2:28" ht="12.75">
      <c r="B118" s="9">
        <f>B124*B121/(2*B120*SQRT(B119))</f>
        <v>0.07818905365726046</v>
      </c>
      <c r="D118" s="9" t="s">
        <v>161</v>
      </c>
      <c r="R118" s="48"/>
      <c r="S118" s="58" t="s">
        <v>153</v>
      </c>
      <c r="T118" s="58" t="s">
        <v>23</v>
      </c>
      <c r="U118" s="58">
        <v>0</v>
      </c>
      <c r="V118" s="58">
        <f>-1*$W$44</f>
        <v>-5.403867276375979</v>
      </c>
      <c r="W118" s="58" t="s">
        <v>24</v>
      </c>
      <c r="X118" s="58"/>
      <c r="Y118" s="58"/>
      <c r="Z118" s="58"/>
      <c r="AA118" s="58"/>
      <c r="AB118" s="58"/>
    </row>
    <row r="119" spans="2:28" ht="12.75">
      <c r="B119" s="9">
        <f>$G$12</f>
        <v>2.20066</v>
      </c>
      <c r="D119" s="9" t="s">
        <v>192</v>
      </c>
      <c r="S119" s="58"/>
      <c r="T119" s="58"/>
      <c r="U119" s="58"/>
      <c r="V119" s="58"/>
      <c r="W119" s="58"/>
      <c r="X119" s="58"/>
      <c r="Y119" s="58"/>
      <c r="Z119" s="58"/>
      <c r="AA119" s="58"/>
      <c r="AB119" s="58"/>
    </row>
    <row r="120" spans="2:28" ht="12.75">
      <c r="B120" s="9">
        <f>PI()</f>
        <v>3.141592653589793</v>
      </c>
      <c r="D120" s="9" t="s">
        <v>219</v>
      </c>
      <c r="R120" s="48" t="s">
        <v>209</v>
      </c>
      <c r="S120" s="58" t="s">
        <v>181</v>
      </c>
      <c r="T120" s="58"/>
      <c r="U120" s="58"/>
      <c r="V120" s="58"/>
      <c r="W120" s="58"/>
      <c r="X120" s="58"/>
      <c r="Y120" s="58"/>
      <c r="Z120" s="58"/>
      <c r="AA120" s="58"/>
      <c r="AB120" s="58"/>
    </row>
    <row r="121" spans="2:28" ht="12.75">
      <c r="B121" s="9">
        <f>B122/B123</f>
        <v>0.2392120151605825</v>
      </c>
      <c r="D121" s="9" t="s">
        <v>29</v>
      </c>
      <c r="R121" s="48"/>
      <c r="S121" s="23" t="s">
        <v>228</v>
      </c>
      <c r="T121" s="58"/>
      <c r="U121" s="58"/>
      <c r="V121" s="58"/>
      <c r="W121" s="58"/>
      <c r="X121" s="58"/>
      <c r="Y121" s="58"/>
      <c r="Z121" s="58"/>
      <c r="AA121" s="58"/>
      <c r="AB121" s="58"/>
    </row>
    <row r="122" spans="2:4" ht="12.75">
      <c r="B122" s="9">
        <v>299792458</v>
      </c>
      <c r="D122" s="9" t="s">
        <v>68</v>
      </c>
    </row>
    <row r="123" spans="2:4" ht="12.75">
      <c r="B123" s="83">
        <f>$G$13</f>
        <v>1253250000</v>
      </c>
      <c r="D123" s="9" t="s">
        <v>97</v>
      </c>
    </row>
    <row r="124" spans="2:4" ht="12.75">
      <c r="B124" s="9">
        <f>ACOS((B129*B129+B125*B125-1/(B131*B131))/SQRT((B129*B129+B125*B125)^2+1/B131^4+2*(B129-B125)*(B129+B125)/(B131*B131)))</f>
        <v>3.0466271663548103</v>
      </c>
      <c r="D124" s="9" t="s">
        <v>128</v>
      </c>
    </row>
    <row r="125" spans="2:4" ht="12.75">
      <c r="B125" s="9">
        <f>B126/(120*B121)</f>
        <v>0.014822091651258803</v>
      </c>
      <c r="D125" s="9" t="s">
        <v>154</v>
      </c>
    </row>
    <row r="126" spans="2:4" ht="12.75">
      <c r="B126" s="9">
        <f>B120*(B127+B128)</f>
        <v>0.4254746895350957</v>
      </c>
      <c r="D126" s="9" t="s">
        <v>184</v>
      </c>
    </row>
    <row r="127" spans="2:4" ht="12.75">
      <c r="B127" s="33">
        <f>$G$16</f>
        <v>0.13335</v>
      </c>
      <c r="D127" s="9" t="s">
        <v>215</v>
      </c>
    </row>
    <row r="128" spans="2:4" ht="12.75">
      <c r="B128" s="38">
        <f>$G$17+$G$18+$G$20</f>
        <v>0.0020827999999999997</v>
      </c>
      <c r="D128" s="9" t="s">
        <v>234</v>
      </c>
    </row>
    <row r="129" spans="2:4" ht="12.75">
      <c r="B129" s="9">
        <f>B126/(120*B120*B121)*(-0.540754132818691-2*LN(B123*B130/B122))</f>
        <v>0.04343703162236973</v>
      </c>
      <c r="D129" s="9" t="s">
        <v>54</v>
      </c>
    </row>
    <row r="130" spans="2:4" ht="12.75">
      <c r="B130" s="33">
        <f>$G$18</f>
        <v>0.0018287999999999998</v>
      </c>
      <c r="D130" s="9" t="s">
        <v>85</v>
      </c>
    </row>
    <row r="131" spans="2:4" ht="12.75">
      <c r="B131" s="9">
        <f>SQRT(B132/B133)*LN(1+2*B130/B127)/(2*B120)</f>
        <v>1.0936751481280127</v>
      </c>
      <c r="D131" s="9" t="s">
        <v>117</v>
      </c>
    </row>
    <row r="132" spans="2:4" ht="12.75">
      <c r="B132" s="9">
        <f>B134</f>
        <v>1.2566370614359173E-06</v>
      </c>
      <c r="D132" s="9" t="s">
        <v>151</v>
      </c>
    </row>
    <row r="133" spans="2:4" ht="12.75">
      <c r="B133" s="9">
        <f>B119/(B134*B122*B122)</f>
        <v>1.9485056962724487E-11</v>
      </c>
      <c r="D133" s="9" t="s">
        <v>174</v>
      </c>
    </row>
    <row r="134" spans="2:4" ht="12.75">
      <c r="B134" s="9">
        <f>B120/2500000</f>
        <v>1.2566370614359173E-06</v>
      </c>
      <c r="D134" s="9" t="s">
        <v>206</v>
      </c>
    </row>
    <row r="138" ht="12.75"/>
    <row r="139" ht="12.75"/>
    <row r="140" ht="12.75"/>
  </sheetData>
  <sheetProtection/>
  <mergeCells count="1">
    <mergeCell ref="S4:AB4"/>
  </mergeCells>
  <printOptions/>
  <pageMargins left="0.75" right="0.75" top="1" bottom="1" header="0.5" footer="0.5"/>
  <pageSetup fitToHeight="0" fitToWidth="0" horizontalDpi="600" verticalDpi="600" orientation="landscape" paperSize="9"/>
  <headerFooter alignWithMargins="0">
    <oddHeader>&amp;L&amp;C&amp;[TAB]&amp;R</oddHeader>
    <oddFooter>&amp;L&amp;CPage &amp;[PAGE]&amp;R</oddFooter>
  </headerFooter>
</worksheet>
</file>

<file path=xl/worksheets/sheet6.xml><?xml version="1.0" encoding="utf-8"?>
<worksheet xmlns="http://schemas.openxmlformats.org/spreadsheetml/2006/main" xmlns:r="http://schemas.openxmlformats.org/officeDocument/2006/relationships">
  <dimension ref="A1:E30"/>
  <sheetViews>
    <sheetView zoomScaleSheetLayoutView="1" workbookViewId="0" topLeftCell="A1">
      <selection activeCell="E27" sqref="E27"/>
    </sheetView>
  </sheetViews>
  <sheetFormatPr defaultColWidth="9.140625" defaultRowHeight="12.75"/>
  <cols>
    <col min="1" max="4" width="9.140625" style="1" customWidth="1"/>
    <col min="5" max="5" width="32.7109375" style="1" customWidth="1"/>
  </cols>
  <sheetData>
    <row r="1" ht="12.75">
      <c r="A1" s="3" t="s">
        <v>245</v>
      </c>
    </row>
    <row r="3" ht="12.75">
      <c r="A3" s="3" t="s">
        <v>250</v>
      </c>
    </row>
    <row r="5" spans="1:4" ht="12.75">
      <c r="A5" s="1" t="s">
        <v>247</v>
      </c>
      <c r="C5" s="51">
        <f>'5.675 GHz'!G63</f>
        <v>3.924085063390865</v>
      </c>
      <c r="D5" s="1" t="s">
        <v>45</v>
      </c>
    </row>
    <row r="6" spans="1:4" ht="12.75">
      <c r="A6" s="1" t="s">
        <v>246</v>
      </c>
      <c r="C6" s="51">
        <f>'2.390 GHz'!G63</f>
        <v>4.426444890037762</v>
      </c>
      <c r="D6" s="1" t="s">
        <v>45</v>
      </c>
    </row>
    <row r="7" spans="1:4" ht="12.75">
      <c r="A7" s="100" t="s">
        <v>248</v>
      </c>
      <c r="B7" s="100"/>
      <c r="C7" s="99">
        <f>'1.57542 GHz'!G62</f>
        <v>4.7846715735120435</v>
      </c>
      <c r="D7" s="100" t="s">
        <v>45</v>
      </c>
    </row>
    <row r="8" ht="12.75">
      <c r="C8" s="51">
        <f>SUM(C5:C7)</f>
        <v>13.13520152694067</v>
      </c>
    </row>
    <row r="10" ht="12.75">
      <c r="A10" s="3" t="s">
        <v>249</v>
      </c>
    </row>
    <row r="12" spans="1:4" ht="12.75">
      <c r="A12" s="1" t="s">
        <v>246</v>
      </c>
      <c r="C12" s="51">
        <f>'2.390 GHz'!G63</f>
        <v>4.426444890037762</v>
      </c>
      <c r="D12" s="1" t="s">
        <v>45</v>
      </c>
    </row>
    <row r="13" spans="1:5" ht="12.75">
      <c r="A13" s="1" t="s">
        <v>248</v>
      </c>
      <c r="C13" s="51">
        <f>'1.57542 GHz'!G62</f>
        <v>4.7846715735120435</v>
      </c>
      <c r="D13" s="1" t="s">
        <v>45</v>
      </c>
      <c r="E13" s="98"/>
    </row>
    <row r="14" spans="1:5" ht="12.75">
      <c r="A14" s="100" t="s">
        <v>251</v>
      </c>
      <c r="B14" s="100"/>
      <c r="C14" s="99">
        <f>'1.25325 GHz'!G62</f>
        <v>5.403867276375979</v>
      </c>
      <c r="D14" s="100" t="s">
        <v>45</v>
      </c>
      <c r="E14" s="98"/>
    </row>
    <row r="15" spans="1:4" ht="12.75">
      <c r="A15" s="3"/>
      <c r="C15" s="51">
        <f>SUM(C12:C14)</f>
        <v>14.614983739925783</v>
      </c>
      <c r="D15" s="1" t="s">
        <v>45</v>
      </c>
    </row>
    <row r="16" ht="12.75">
      <c r="E16" s="3"/>
    </row>
    <row r="17" spans="1:3" ht="12.75">
      <c r="A17" s="3"/>
      <c r="C17" s="3"/>
    </row>
    <row r="19" spans="1:3" ht="12.75">
      <c r="A19" s="3"/>
      <c r="C19" s="3"/>
    </row>
    <row r="20" spans="1:5" ht="12.75">
      <c r="A20" s="2"/>
      <c r="B20" s="2"/>
      <c r="C20" s="2"/>
      <c r="D20" s="2"/>
      <c r="E20" s="3"/>
    </row>
    <row r="21" spans="1:4" ht="12.75">
      <c r="A21" s="2"/>
      <c r="B21" s="2"/>
      <c r="C21" s="2"/>
      <c r="D21" s="2"/>
    </row>
    <row r="22" spans="1:4" ht="12.75">
      <c r="A22" s="2"/>
      <c r="B22" s="2"/>
      <c r="C22" s="2"/>
      <c r="D22" s="2"/>
    </row>
    <row r="23" spans="1:4" ht="12.75">
      <c r="A23" s="2"/>
      <c r="B23" s="2"/>
      <c r="C23" s="2"/>
      <c r="D23" s="2"/>
    </row>
    <row r="24" spans="1:4" ht="12.75">
      <c r="A24" s="2"/>
      <c r="B24" s="2"/>
      <c r="C24" s="2"/>
      <c r="D24" s="2"/>
    </row>
    <row r="28" ht="12.75">
      <c r="E28" s="3"/>
    </row>
    <row r="30" spans="1:3" ht="12.75">
      <c r="A30" s="3"/>
      <c r="B30" s="3"/>
      <c r="C30" s="3"/>
    </row>
  </sheetData>
  <sheetProtection/>
  <printOptions/>
  <pageMargins left="0.75" right="0.75" top="1" bottom="1" header="0.5" footer="0.5"/>
  <pageSetup horizontalDpi="600" verticalDpi="600" orientation="portrait" paperSize="9"/>
  <headerFooter alignWithMargins="0">
    <oddHeader>&amp;L&amp;C&amp;[TAB]&amp;R</oddHeader>
    <oddFooter>&amp;L&amp;CPage &amp;[PAGE]&amp;R</oddFooter>
  </headerFooter>
</worksheet>
</file>

<file path=xl/worksheets/sheet7.xml><?xml version="1.0" encoding="utf-8"?>
<worksheet xmlns="http://schemas.openxmlformats.org/spreadsheetml/2006/main" xmlns:r="http://schemas.openxmlformats.org/officeDocument/2006/relationships">
  <dimension ref="A1:D11"/>
  <sheetViews>
    <sheetView zoomScaleSheetLayoutView="1" workbookViewId="0" topLeftCell="A1">
      <selection activeCell="B5" sqref="B5"/>
    </sheetView>
  </sheetViews>
  <sheetFormatPr defaultColWidth="9.140625" defaultRowHeight="12.75"/>
  <cols>
    <col min="1" max="1" width="11.140625" style="1" customWidth="1"/>
    <col min="2" max="4" width="9.140625" style="1" customWidth="1"/>
  </cols>
  <sheetData>
    <row r="1" ht="12.75">
      <c r="A1" s="3" t="s">
        <v>252</v>
      </c>
    </row>
    <row r="3" spans="1:4" ht="12.75">
      <c r="A3" s="1" t="s">
        <v>256</v>
      </c>
      <c r="B3" s="1" t="s">
        <v>257</v>
      </c>
      <c r="D3" s="1" t="s">
        <v>259</v>
      </c>
    </row>
    <row r="4" spans="1:2" ht="12.75">
      <c r="A4" s="101" t="s">
        <v>260</v>
      </c>
      <c r="B4" s="101">
        <v>0.7</v>
      </c>
    </row>
    <row r="5" spans="1:2" ht="12.75">
      <c r="A5" s="101" t="s">
        <v>253</v>
      </c>
      <c r="B5" s="101">
        <v>1.4</v>
      </c>
    </row>
    <row r="6" spans="1:2" ht="12.75">
      <c r="A6" s="101" t="s">
        <v>255</v>
      </c>
      <c r="B6" s="101">
        <v>2.8</v>
      </c>
    </row>
    <row r="7" spans="1:2" ht="12.75">
      <c r="A7" s="101" t="s">
        <v>258</v>
      </c>
      <c r="B7" s="101">
        <v>4.2</v>
      </c>
    </row>
    <row r="8" spans="1:2" ht="12.75">
      <c r="A8" s="101" t="s">
        <v>261</v>
      </c>
      <c r="B8" s="101">
        <v>5.6</v>
      </c>
    </row>
    <row r="9" spans="1:2" ht="12.75">
      <c r="A9" s="101" t="s">
        <v>254</v>
      </c>
      <c r="B9" s="101">
        <v>7</v>
      </c>
    </row>
    <row r="10" ht="12.75"/>
    <row r="11" ht="12.75">
      <c r="A11" s="101"/>
    </row>
  </sheetData>
  <sheetProtection/>
  <printOptions/>
  <pageMargins left="0.75" right="0.75" top="1" bottom="1" header="0.5" footer="0.5"/>
  <pageSetup horizontalDpi="600" verticalDpi="600" orientation="portrait" paperSize="9"/>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Greenberg</dc:creator>
  <cp:keywords/>
  <dc:description/>
  <cp:lastModifiedBy>Andrew Greenberg</cp:lastModifiedBy>
  <dcterms:created xsi:type="dcterms:W3CDTF">2003-07-28T17:26:30Z</dcterms:created>
  <dcterms:modified xsi:type="dcterms:W3CDTF">2004-08-04T22:07:41Z</dcterms:modified>
  <cp:category/>
  <cp:version/>
  <cp:contentType/>
  <cp:contentStatus/>
</cp:coreProperties>
</file>