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3835" windowHeight="15765" activeTab="0"/>
  </bookViews>
  <sheets>
    <sheet name="EPU" sheetId="1" r:id="rId1"/>
    <sheet name="RT Duroid (prototype)" sheetId="2" r:id="rId2"/>
    <sheet name="USEFUL INFO" sheetId="3" r:id="rId3"/>
  </sheets>
  <definedNames/>
  <calcPr fullCalcOnLoad="1"/>
</workbook>
</file>

<file path=xl/sharedStrings.xml><?xml version="1.0" encoding="utf-8"?>
<sst xmlns="http://schemas.openxmlformats.org/spreadsheetml/2006/main" count="617" uniqueCount="103">
  <si>
    <t>Er</t>
  </si>
  <si>
    <t>=</t>
  </si>
  <si>
    <t>Fsub0</t>
  </si>
  <si>
    <t>h</t>
  </si>
  <si>
    <t>Dielectric Constant</t>
  </si>
  <si>
    <t xml:space="preserve">Center frequency </t>
  </si>
  <si>
    <t>Thickness of conductor</t>
  </si>
  <si>
    <t>height of dielectric</t>
  </si>
  <si>
    <t>Patch input impedance</t>
  </si>
  <si>
    <t>Hz</t>
  </si>
  <si>
    <t>ohms</t>
  </si>
  <si>
    <t>Wavelength in free space</t>
  </si>
  <si>
    <t>m/s</t>
  </si>
  <si>
    <t>c</t>
  </si>
  <si>
    <t>SOL</t>
  </si>
  <si>
    <t>m</t>
  </si>
  <si>
    <t>B</t>
  </si>
  <si>
    <t>Sub-equation</t>
  </si>
  <si>
    <t xml:space="preserve">A = </t>
  </si>
  <si>
    <t>Sub-equation 2</t>
  </si>
  <si>
    <t>INPUTS</t>
  </si>
  <si>
    <t>CONSTANTS</t>
  </si>
  <si>
    <t>in</t>
  </si>
  <si>
    <t>A</t>
  </si>
  <si>
    <t>E_eff</t>
  </si>
  <si>
    <t>Effective dielectric</t>
  </si>
  <si>
    <t>Lambda</t>
  </si>
  <si>
    <t>Z_50</t>
  </si>
  <si>
    <t>Z_100</t>
  </si>
  <si>
    <t>impedance</t>
  </si>
  <si>
    <t>resonant length</t>
  </si>
  <si>
    <t>radiator diameter</t>
  </si>
  <si>
    <t>width of radiator</t>
  </si>
  <si>
    <t>N_f</t>
  </si>
  <si>
    <t xml:space="preserve">Number of feeds </t>
  </si>
  <si>
    <t>Impedance of patch</t>
  </si>
  <si>
    <t>Zin</t>
  </si>
  <si>
    <t>CORPORATE FEED NETWORK</t>
  </si>
  <si>
    <t>CYLINDRICAL PATCH</t>
  </si>
  <si>
    <t>MISC VALUES</t>
  </si>
  <si>
    <t>cm</t>
  </si>
  <si>
    <t>mm</t>
  </si>
  <si>
    <t>Lambda_0</t>
  </si>
  <si>
    <t>Rounding up to 2^n:</t>
  </si>
  <si>
    <t>d_airframe</t>
  </si>
  <si>
    <t>OD of airframe</t>
  </si>
  <si>
    <t>Thickness of GND plane</t>
  </si>
  <si>
    <t>t_radiator</t>
  </si>
  <si>
    <t>t_gnd</t>
  </si>
  <si>
    <t>D_patch</t>
  </si>
  <si>
    <t>L_patch</t>
  </si>
  <si>
    <t>W_patch</t>
  </si>
  <si>
    <t>Portland State Aerospace Society Cylindrical Patch Antenna Calculator</t>
  </si>
  <si>
    <t xml:space="preserve">w/h (if w/h &gt; 2) = </t>
  </si>
  <si>
    <t xml:space="preserve">w/h (if w/h &lt; 2) = </t>
  </si>
  <si>
    <t>width of 50 ohm line</t>
  </si>
  <si>
    <t>Z_50T100</t>
  </si>
  <si>
    <t>Lenfth of 1/4wave T</t>
  </si>
  <si>
    <t>width of 100 ohm line</t>
  </si>
  <si>
    <t>Z_100TZin</t>
  </si>
  <si>
    <t>width of 50/100 trans.</t>
  </si>
  <si>
    <t>Z of 50/100 1/4wv tans.</t>
  </si>
  <si>
    <t>L_50T100</t>
  </si>
  <si>
    <t>L_100TZin</t>
  </si>
  <si>
    <t>W_100TZin</t>
  </si>
  <si>
    <t>W_50T100</t>
  </si>
  <si>
    <t>W_50</t>
  </si>
  <si>
    <t>Z of 100/Zin 1/4wv tans.</t>
  </si>
  <si>
    <t>width of 100/Zin trans.</t>
  </si>
  <si>
    <t>W_Zin</t>
  </si>
  <si>
    <t>width of Zin line</t>
  </si>
  <si>
    <t>CALCULATIONS</t>
  </si>
  <si>
    <t>Ohms</t>
  </si>
  <si>
    <t>W_100</t>
  </si>
  <si>
    <t>W_50: Calculate the width of a 50ohm line</t>
  </si>
  <si>
    <t>W_100: Calculate the width of a 100ohm line</t>
  </si>
  <si>
    <t>W_Zin: Calculate the width of the feed into the CPA</t>
  </si>
  <si>
    <t>50T100: Calculate the length of the 70.7 ohm 1/4 wave transformer</t>
  </si>
  <si>
    <t>Width of 50 ohm line</t>
  </si>
  <si>
    <t>Width of 100 ohm line</t>
  </si>
  <si>
    <t>Width of Zin line into patch</t>
  </si>
  <si>
    <t>Z of 1/4wave trans.</t>
  </si>
  <si>
    <t>Width of 50/100 1/4W T</t>
  </si>
  <si>
    <t>Lambda50T100</t>
  </si>
  <si>
    <t>Wavelength</t>
  </si>
  <si>
    <t>1/4 Wavelength</t>
  </si>
  <si>
    <t>100TZin: Calculate the length of the final (nearest to the CPA) Zin to 100 ohms 1/4 wave transformer</t>
  </si>
  <si>
    <t>inputs (sometimes optional)</t>
  </si>
  <si>
    <t>outputs</t>
  </si>
  <si>
    <t>USEFUL INFORMATION</t>
  </si>
  <si>
    <t>1/2 Oz.</t>
  </si>
  <si>
    <t>1 Oz.</t>
  </si>
  <si>
    <t>2 Oz.</t>
  </si>
  <si>
    <t>3 Oz</t>
  </si>
  <si>
    <t>4 Oz</t>
  </si>
  <si>
    <t>5 Oz.</t>
  </si>
  <si>
    <t>Cu plating</t>
  </si>
  <si>
    <t>Thickness (0.001")</t>
  </si>
  <si>
    <t xml:space="preserve">from </t>
  </si>
  <si>
    <t>http://www.standardpc.com/laminates.htm</t>
  </si>
  <si>
    <t>(Overrides automatic calculation in G32 - don’t forget to verify with WRAPPAT.EXE)</t>
  </si>
  <si>
    <t>07/292003</t>
  </si>
  <si>
    <t>Version 1 of the spreadsheet. Correlates with Dave Turner's hand-calculated numbers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</si>
</sst>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00"/>
    <numFmt numFmtId="166" formatCode="0.000000000"/>
    <numFmt numFmtId="167" formatCode="0.000000"/>
    <numFmt numFmtId="168" formatCode="0.00000"/>
    <numFmt numFmtId="169" formatCode="0.0000"/>
    <numFmt numFmtId="170" formatCode="0.000"/>
    <numFmt numFmtId="171" formatCode="0.000E+00"/>
    <numFmt numFmtId="172" formatCode="0.0000E+0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3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0" xfId="0" applyFill="1" applyAlignment="1">
      <alignment/>
    </xf>
    <xf numFmtId="1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3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11" fontId="0" fillId="0" borderId="0" xfId="0" applyNumberFormat="1" applyFill="1" applyAlignment="1">
      <alignment/>
    </xf>
    <xf numFmtId="11" fontId="0" fillId="3" borderId="0" xfId="0" applyNumberFormat="1" applyFill="1" applyAlignment="1">
      <alignment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Fill="1" applyAlignment="1">
      <alignment/>
    </xf>
    <xf numFmtId="14" fontId="0" fillId="0" borderId="0" xfId="0" applyNumberFormat="1" applyAlignment="1">
      <alignment/>
    </xf>
    <xf numFmtId="170" fontId="0" fillId="0" borderId="0" xfId="0" applyNumberFormat="1" applyAlignment="1">
      <alignment/>
    </xf>
    <xf numFmtId="170" fontId="0" fillId="0" borderId="0" xfId="0" applyNumberFormat="1" applyFill="1" applyAlignment="1">
      <alignment/>
    </xf>
    <xf numFmtId="0" fontId="0" fillId="0" borderId="0" xfId="0" applyBorder="1" applyAlignment="1">
      <alignment/>
    </xf>
    <xf numFmtId="169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4" borderId="0" xfId="0" applyFill="1" applyBorder="1" applyAlignment="1">
      <alignment/>
    </xf>
    <xf numFmtId="170" fontId="0" fillId="4" borderId="0" xfId="0" applyNumberFormat="1" applyFill="1" applyBorder="1" applyAlignment="1">
      <alignment/>
    </xf>
    <xf numFmtId="169" fontId="0" fillId="4" borderId="0" xfId="0" applyNumberFormat="1" applyFill="1" applyBorder="1" applyAlignment="1">
      <alignment/>
    </xf>
    <xf numFmtId="168" fontId="0" fillId="0" borderId="0" xfId="0" applyNumberFormat="1" applyFill="1" applyBorder="1" applyAlignment="1">
      <alignment/>
    </xf>
    <xf numFmtId="170" fontId="0" fillId="4" borderId="0" xfId="0" applyNumberFormat="1" applyFill="1" applyAlignment="1">
      <alignment/>
    </xf>
    <xf numFmtId="0" fontId="0" fillId="4" borderId="0" xfId="0" applyFill="1" applyAlignment="1">
      <alignment/>
    </xf>
    <xf numFmtId="17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69" fontId="0" fillId="3" borderId="0" xfId="0" applyNumberFormat="1" applyFill="1" applyAlignment="1">
      <alignment/>
    </xf>
    <xf numFmtId="14" fontId="0" fillId="4" borderId="0" xfId="0" applyNumberFormat="1" applyFill="1" applyAlignment="1">
      <alignment/>
    </xf>
    <xf numFmtId="14" fontId="0" fillId="2" borderId="0" xfId="0" applyNumberFormat="1" applyFill="1" applyAlignment="1">
      <alignment/>
    </xf>
    <xf numFmtId="2" fontId="0" fillId="0" borderId="0" xfId="0" applyNumberFormat="1" applyFill="1" applyBorder="1" applyAlignment="1">
      <alignment/>
    </xf>
    <xf numFmtId="0" fontId="0" fillId="2" borderId="0" xfId="0" applyNumberFormat="1" applyFill="1" applyAlignment="1">
      <alignment/>
    </xf>
    <xf numFmtId="0" fontId="0" fillId="2" borderId="1" xfId="0" applyFill="1" applyBorder="1" applyAlignment="1">
      <alignment/>
    </xf>
    <xf numFmtId="168" fontId="0" fillId="2" borderId="0" xfId="0" applyNumberFormat="1" applyFill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172" fontId="0" fillId="2" borderId="1" xfId="0" applyNumberFormat="1" applyFill="1" applyBorder="1" applyAlignment="1">
      <alignment/>
    </xf>
    <xf numFmtId="169" fontId="0" fillId="4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wrapText="1"/>
    </xf>
    <xf numFmtId="172" fontId="0" fillId="2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9"/>
  <sheetViews>
    <sheetView tabSelected="1" workbookViewId="0" topLeftCell="A1">
      <selection activeCell="A1" sqref="A1"/>
    </sheetView>
  </sheetViews>
  <sheetFormatPr defaultColWidth="9.140625" defaultRowHeight="12.75"/>
  <cols>
    <col min="2" max="2" width="12.28125" style="0" customWidth="1"/>
    <col min="5" max="5" width="12.28125" style="0" customWidth="1"/>
    <col min="7" max="7" width="11.57421875" style="0" bestFit="1" customWidth="1"/>
    <col min="13" max="13" width="12.421875" style="0" bestFit="1" customWidth="1"/>
    <col min="18" max="18" width="10.57421875" style="0" bestFit="1" customWidth="1"/>
  </cols>
  <sheetData>
    <row r="1" ht="12.75">
      <c r="A1" s="7" t="s">
        <v>52</v>
      </c>
    </row>
    <row r="2" ht="12.75">
      <c r="A2" s="13">
        <v>37825</v>
      </c>
    </row>
    <row r="3" ht="12.75">
      <c r="A3" s="13"/>
    </row>
    <row r="4" spans="1:3" ht="12.75">
      <c r="A4" s="33"/>
      <c r="B4" t="s">
        <v>1</v>
      </c>
      <c r="C4" t="s">
        <v>87</v>
      </c>
    </row>
    <row r="5" spans="1:3" ht="12.75">
      <c r="A5" s="32"/>
      <c r="B5" t="s">
        <v>1</v>
      </c>
      <c r="C5" t="s">
        <v>88</v>
      </c>
    </row>
    <row r="6" ht="12.75">
      <c r="A6" s="13"/>
    </row>
    <row r="7" spans="1:16" ht="12.75">
      <c r="A7" s="4" t="s">
        <v>21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="6" customFormat="1" ht="12.75"/>
    <row r="9" spans="2:8" ht="12.75">
      <c r="B9" t="s">
        <v>13</v>
      </c>
      <c r="C9" t="s">
        <v>1</v>
      </c>
      <c r="D9" t="s">
        <v>14</v>
      </c>
      <c r="F9" t="s">
        <v>1</v>
      </c>
      <c r="G9" s="2">
        <v>299792458</v>
      </c>
      <c r="H9" t="s">
        <v>12</v>
      </c>
    </row>
    <row r="10" ht="12.75">
      <c r="G10" s="2"/>
    </row>
    <row r="11" spans="1:16" ht="12.75">
      <c r="A11" s="4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="6" customFormat="1" ht="12.75"/>
    <row r="13" spans="2:16" ht="12.75">
      <c r="B13" s="1" t="s">
        <v>0</v>
      </c>
      <c r="C13" s="1" t="s">
        <v>1</v>
      </c>
      <c r="D13" s="1" t="s">
        <v>4</v>
      </c>
      <c r="E13" s="1"/>
      <c r="F13" s="1" t="s">
        <v>1</v>
      </c>
      <c r="G13" s="36">
        <v>1.1</v>
      </c>
      <c r="H13" s="1"/>
      <c r="I13" s="1"/>
      <c r="J13" s="1"/>
      <c r="K13" s="1"/>
      <c r="L13" s="1"/>
      <c r="M13" s="1"/>
      <c r="N13" s="1"/>
      <c r="O13" s="1"/>
      <c r="P13" s="1"/>
    </row>
    <row r="14" spans="2:16" ht="12.75">
      <c r="B14" s="1" t="s">
        <v>2</v>
      </c>
      <c r="C14" s="1" t="s">
        <v>1</v>
      </c>
      <c r="D14" s="1" t="s">
        <v>5</v>
      </c>
      <c r="E14" s="1"/>
      <c r="F14" s="1" t="s">
        <v>1</v>
      </c>
      <c r="G14" s="41">
        <v>2422000000</v>
      </c>
      <c r="H14" s="1" t="s">
        <v>9</v>
      </c>
      <c r="I14" s="1"/>
      <c r="J14" s="1"/>
      <c r="K14" s="1"/>
      <c r="L14" s="1"/>
      <c r="M14" s="1"/>
      <c r="N14" s="1"/>
      <c r="O14" s="1"/>
      <c r="P14" s="1"/>
    </row>
    <row r="15" spans="2:16" ht="12.75">
      <c r="B15" s="1" t="s">
        <v>36</v>
      </c>
      <c r="C15" s="1" t="s">
        <v>1</v>
      </c>
      <c r="D15" s="1" t="s">
        <v>8</v>
      </c>
      <c r="E15" s="1"/>
      <c r="F15" s="1" t="s">
        <v>1</v>
      </c>
      <c r="G15" s="36"/>
      <c r="H15" s="1" t="s">
        <v>10</v>
      </c>
      <c r="I15" s="1" t="s">
        <v>100</v>
      </c>
      <c r="J15" s="1"/>
      <c r="K15" s="1"/>
      <c r="L15" s="1"/>
      <c r="M15" s="1"/>
      <c r="N15" s="1"/>
      <c r="O15" s="1"/>
      <c r="P15" s="1"/>
    </row>
    <row r="16" spans="2:16" ht="12.75">
      <c r="B16" s="1"/>
      <c r="C16" s="1"/>
      <c r="D16" s="1"/>
      <c r="E16" s="1"/>
      <c r="F16" s="1"/>
      <c r="G16" s="47"/>
      <c r="H16" s="1"/>
      <c r="I16" s="1"/>
      <c r="J16" s="1"/>
      <c r="K16" s="1"/>
      <c r="L16" s="1"/>
      <c r="M16" s="1"/>
      <c r="N16" s="1"/>
      <c r="O16" s="1"/>
      <c r="P16" s="1"/>
    </row>
    <row r="17" spans="2:16" ht="12" customHeight="1">
      <c r="B17" s="1" t="s">
        <v>44</v>
      </c>
      <c r="C17" s="1" t="s">
        <v>1</v>
      </c>
      <c r="D17" s="1" t="s">
        <v>45</v>
      </c>
      <c r="E17" s="1"/>
      <c r="F17" s="1" t="s">
        <v>1</v>
      </c>
      <c r="G17" s="37">
        <f>IF(ISBLANK(I17),IF(ISBLANK(K17),IF(ISBLANK(M17),IF(ISBLANK(O17),"NO VALUE!",O17*0.0254),M17/1000),K17/100),I17)</f>
        <v>0.13335</v>
      </c>
      <c r="H17" s="35" t="s">
        <v>15</v>
      </c>
      <c r="I17" s="38"/>
      <c r="J17" s="1" t="s">
        <v>15</v>
      </c>
      <c r="K17" s="38"/>
      <c r="L17" s="1" t="s">
        <v>40</v>
      </c>
      <c r="M17" s="38"/>
      <c r="N17" s="1" t="s">
        <v>41</v>
      </c>
      <c r="O17" s="38">
        <v>5.25</v>
      </c>
      <c r="P17" s="1" t="s">
        <v>22</v>
      </c>
    </row>
    <row r="18" spans="2:16" ht="12.75">
      <c r="B18" s="1" t="s">
        <v>48</v>
      </c>
      <c r="C18" s="1" t="s">
        <v>1</v>
      </c>
      <c r="D18" s="1" t="s">
        <v>46</v>
      </c>
      <c r="E18" s="1"/>
      <c r="F18" s="1" t="s">
        <v>1</v>
      </c>
      <c r="G18" s="37">
        <f>IF(ISBLANK(I18),IF(ISBLANK(K18),IF(ISBLANK(M18),IF(ISBLANK(O18),"NO VALUE!",O18*0.0254),M18/1000),K18/100),I18)</f>
        <v>0.0007874</v>
      </c>
      <c r="H18" s="1" t="s">
        <v>15</v>
      </c>
      <c r="I18" s="39"/>
      <c r="J18" s="1" t="s">
        <v>15</v>
      </c>
      <c r="K18" s="39"/>
      <c r="L18" s="1" t="s">
        <v>40</v>
      </c>
      <c r="M18" s="39"/>
      <c r="N18" s="1" t="s">
        <v>41</v>
      </c>
      <c r="O18" s="39">
        <v>0.031</v>
      </c>
      <c r="P18" s="1" t="s">
        <v>22</v>
      </c>
    </row>
    <row r="19" spans="2:16" ht="12.75">
      <c r="B19" s="1" t="s">
        <v>3</v>
      </c>
      <c r="C19" s="1" t="s">
        <v>1</v>
      </c>
      <c r="D19" s="1" t="s">
        <v>7</v>
      </c>
      <c r="E19" s="1"/>
      <c r="F19" s="1" t="s">
        <v>1</v>
      </c>
      <c r="G19" s="37">
        <f>IF(ISBLANK(I19),IF(ISBLANK(K19),IF(ISBLANK(M19),IF(ISBLANK(O19),"NO VALUE!",O19*0.0254),M19/1000),K19/100),I19)</f>
        <v>0.0015875</v>
      </c>
      <c r="H19" s="1" t="s">
        <v>15</v>
      </c>
      <c r="I19" s="39"/>
      <c r="J19" s="1" t="s">
        <v>15</v>
      </c>
      <c r="K19" s="39"/>
      <c r="L19" s="1" t="s">
        <v>40</v>
      </c>
      <c r="M19" s="39"/>
      <c r="N19" s="1" t="s">
        <v>41</v>
      </c>
      <c r="O19" s="39">
        <f>1/16</f>
        <v>0.0625</v>
      </c>
      <c r="P19" s="1" t="s">
        <v>22</v>
      </c>
    </row>
    <row r="20" spans="2:16" ht="12.75">
      <c r="B20" s="1" t="s">
        <v>47</v>
      </c>
      <c r="C20" s="1"/>
      <c r="D20" s="1" t="s">
        <v>6</v>
      </c>
      <c r="E20" s="1"/>
      <c r="F20" s="1" t="s">
        <v>1</v>
      </c>
      <c r="G20" s="37">
        <f>IF(ISBLANK(I20),IF(ISBLANK(K20),IF(ISBLANK(M20),IF(ISBLANK(O20),"NO VALUE!",O20*0.0254),M20/1000),K20/100),I20)</f>
        <v>3.556E-05</v>
      </c>
      <c r="H20" s="1" t="s">
        <v>15</v>
      </c>
      <c r="I20" s="40"/>
      <c r="J20" s="1" t="s">
        <v>15</v>
      </c>
      <c r="K20" s="40"/>
      <c r="L20" s="1" t="s">
        <v>40</v>
      </c>
      <c r="M20" s="40"/>
      <c r="N20" s="1" t="s">
        <v>41</v>
      </c>
      <c r="O20" s="40">
        <v>0.0014</v>
      </c>
      <c r="P20" s="1" t="s">
        <v>22</v>
      </c>
    </row>
    <row r="21" ht="12.75">
      <c r="G21" s="8"/>
    </row>
    <row r="22" spans="1:16" ht="12.75">
      <c r="A22" s="4" t="s">
        <v>39</v>
      </c>
      <c r="B22" s="4"/>
      <c r="C22" s="4"/>
      <c r="D22" s="4"/>
      <c r="E22" s="4"/>
      <c r="F22" s="4"/>
      <c r="G22" s="9"/>
      <c r="H22" s="4"/>
      <c r="I22" s="4"/>
      <c r="J22" s="4"/>
      <c r="K22" s="4"/>
      <c r="L22" s="4"/>
      <c r="M22" s="4"/>
      <c r="N22" s="4"/>
      <c r="O22" s="4"/>
      <c r="P22" s="4"/>
    </row>
    <row r="23" ht="12.75">
      <c r="G23" s="8"/>
    </row>
    <row r="24" spans="2:14" ht="12.75">
      <c r="B24" t="s">
        <v>42</v>
      </c>
      <c r="C24" t="s">
        <v>1</v>
      </c>
      <c r="D24" t="s">
        <v>11</v>
      </c>
      <c r="F24" t="s">
        <v>1</v>
      </c>
      <c r="G24" s="17">
        <f>M24/0.0254</f>
        <v>4.873184424923764</v>
      </c>
      <c r="H24" t="s">
        <v>22</v>
      </c>
      <c r="I24" s="21">
        <f>M24*1000</f>
        <v>123.77888439306359</v>
      </c>
      <c r="J24" s="16" t="s">
        <v>41</v>
      </c>
      <c r="K24" s="20">
        <f>M24*100</f>
        <v>12.377888439306359</v>
      </c>
      <c r="L24" s="16" t="s">
        <v>40</v>
      </c>
      <c r="M24" s="18">
        <f>G9/G14</f>
        <v>0.12377888439306359</v>
      </c>
      <c r="N24" s="19" t="s">
        <v>15</v>
      </c>
    </row>
    <row r="25" spans="7:13" ht="12.75">
      <c r="G25" s="3"/>
      <c r="H25" s="3"/>
      <c r="M25" s="17"/>
    </row>
    <row r="26" spans="1:16" ht="12.75">
      <c r="A26" s="4" t="s">
        <v>38</v>
      </c>
      <c r="B26" s="4"/>
      <c r="C26" s="4"/>
      <c r="D26" s="4"/>
      <c r="E26" s="4"/>
      <c r="F26" s="4"/>
      <c r="G26" s="9"/>
      <c r="H26" s="4"/>
      <c r="I26" s="4"/>
      <c r="J26" s="4"/>
      <c r="K26" s="4"/>
      <c r="L26" s="4"/>
      <c r="M26" s="31"/>
      <c r="N26" s="4"/>
      <c r="O26" s="4"/>
      <c r="P26" s="4"/>
    </row>
    <row r="27" spans="7:13" ht="12.75">
      <c r="G27" s="8"/>
      <c r="M27" s="17"/>
    </row>
    <row r="28" spans="2:14" ht="12.75">
      <c r="B28" s="28" t="s">
        <v>49</v>
      </c>
      <c r="C28" s="28" t="s">
        <v>1</v>
      </c>
      <c r="D28" s="28" t="s">
        <v>31</v>
      </c>
      <c r="E28" s="28"/>
      <c r="F28" s="28" t="s">
        <v>1</v>
      </c>
      <c r="G28" s="42">
        <f>M28/0.0254</f>
        <v>5.437</v>
      </c>
      <c r="H28" s="28" t="s">
        <v>22</v>
      </c>
      <c r="I28" s="34">
        <f>M28*1000</f>
        <v>138.0998</v>
      </c>
      <c r="J28" s="30" t="s">
        <v>41</v>
      </c>
      <c r="K28" s="29">
        <f>M28*100</f>
        <v>13.80998</v>
      </c>
      <c r="L28" s="30" t="s">
        <v>40</v>
      </c>
      <c r="M28" s="26">
        <f>G17+2*G18+2*G19</f>
        <v>0.1380998</v>
      </c>
      <c r="N28" s="30" t="s">
        <v>15</v>
      </c>
    </row>
    <row r="29" spans="2:14" ht="12.75">
      <c r="B29" s="28" t="s">
        <v>50</v>
      </c>
      <c r="C29" s="28" t="s">
        <v>1</v>
      </c>
      <c r="D29" s="28" t="s">
        <v>30</v>
      </c>
      <c r="E29" s="28"/>
      <c r="F29" s="28" t="s">
        <v>1</v>
      </c>
      <c r="G29" s="42">
        <f>M29/0.0254</f>
        <v>2.323199519829552</v>
      </c>
      <c r="H29" s="28" t="s">
        <v>22</v>
      </c>
      <c r="I29" s="34">
        <f>M29*1000</f>
        <v>59.00926780367062</v>
      </c>
      <c r="J29" s="30" t="s">
        <v>41</v>
      </c>
      <c r="K29" s="29">
        <f>M29*100</f>
        <v>5.900926780367062</v>
      </c>
      <c r="L29" s="30" t="s">
        <v>40</v>
      </c>
      <c r="M29" s="26">
        <f>$M$24/(2*SQRT($G13))</f>
        <v>0.05900926780367062</v>
      </c>
      <c r="N29" s="30" t="s">
        <v>15</v>
      </c>
    </row>
    <row r="30" spans="2:14" ht="12.75">
      <c r="B30" s="28" t="s">
        <v>51</v>
      </c>
      <c r="C30" s="28" t="s">
        <v>1</v>
      </c>
      <c r="D30" s="28" t="s">
        <v>32</v>
      </c>
      <c r="E30" s="28"/>
      <c r="F30" s="28" t="s">
        <v>1</v>
      </c>
      <c r="G30" s="42">
        <f>M30/0.0254</f>
        <v>17.080839257567707</v>
      </c>
      <c r="H30" s="28" t="s">
        <v>22</v>
      </c>
      <c r="I30" s="34">
        <f>M30*1000</f>
        <v>433.8533171422197</v>
      </c>
      <c r="J30" s="30" t="s">
        <v>41</v>
      </c>
      <c r="K30" s="29">
        <f>M30*100</f>
        <v>43.38533171422197</v>
      </c>
      <c r="L30" s="30" t="s">
        <v>40</v>
      </c>
      <c r="M30" s="26">
        <f>PI()*$M$28</f>
        <v>0.4338533171422197</v>
      </c>
      <c r="N30" s="30" t="s">
        <v>15</v>
      </c>
    </row>
    <row r="31" spans="2:13" ht="12.75">
      <c r="B31" s="28" t="s">
        <v>33</v>
      </c>
      <c r="C31" s="28" t="s">
        <v>1</v>
      </c>
      <c r="D31" s="28" t="s">
        <v>34</v>
      </c>
      <c r="E31" s="28"/>
      <c r="F31" s="28" t="s">
        <v>1</v>
      </c>
      <c r="G31" s="11">
        <f>M30/(M24/SQRT($G$13))</f>
        <v>3.6761455724691454</v>
      </c>
      <c r="H31" s="22" t="s">
        <v>43</v>
      </c>
      <c r="I31" s="22"/>
      <c r="J31" s="23">
        <f>IF(G31&lt;1,1,IF(G31&lt;2,2,IF(G31&lt;4,4,IF(G31&lt;8,8,IF(G31&lt;16,16,"Error! Too many Lambda")))))</f>
        <v>4</v>
      </c>
      <c r="M31" s="17"/>
    </row>
    <row r="32" spans="2:13" ht="12.75">
      <c r="B32" s="28" t="s">
        <v>36</v>
      </c>
      <c r="C32" s="28" t="s">
        <v>1</v>
      </c>
      <c r="D32" s="28" t="s">
        <v>35</v>
      </c>
      <c r="E32" s="28"/>
      <c r="F32" s="28" t="s">
        <v>1</v>
      </c>
      <c r="G32" s="24">
        <f>IF(ISBLANK($G$15),J31*60*M24/M30,$G$15)</f>
        <v>68.47229485304858</v>
      </c>
      <c r="H32" s="23" t="s">
        <v>10</v>
      </c>
      <c r="I32" s="6"/>
      <c r="J32" s="6"/>
      <c r="M32" s="17"/>
    </row>
    <row r="33" ht="12.75">
      <c r="M33" s="17"/>
    </row>
    <row r="34" spans="1:16" ht="12.75">
      <c r="A34" s="4" t="s">
        <v>37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31"/>
      <c r="N34" s="4"/>
      <c r="O34" s="4"/>
      <c r="P34" s="4"/>
    </row>
    <row r="35" spans="1:13" ht="12.75">
      <c r="A35" s="6"/>
      <c r="B35" s="6"/>
      <c r="C35" s="6"/>
      <c r="D35" s="6"/>
      <c r="E35" s="6"/>
      <c r="F35" s="6"/>
      <c r="G35" s="6"/>
      <c r="H35" s="6"/>
      <c r="I35" s="6"/>
      <c r="M35" s="17"/>
    </row>
    <row r="36" spans="1:14" ht="12.75">
      <c r="A36" s="6"/>
      <c r="B36" s="28" t="s">
        <v>66</v>
      </c>
      <c r="C36" s="28" t="s">
        <v>1</v>
      </c>
      <c r="D36" s="28" t="s">
        <v>55</v>
      </c>
      <c r="E36" s="28"/>
      <c r="F36" s="28" t="s">
        <v>1</v>
      </c>
      <c r="G36" s="25">
        <f>G57/0.0254</f>
        <v>0.2912180865823751</v>
      </c>
      <c r="H36" s="23" t="s">
        <v>22</v>
      </c>
      <c r="I36" s="34">
        <f>G36*25.4</f>
        <v>7.396939399192327</v>
      </c>
      <c r="J36" s="30" t="s">
        <v>41</v>
      </c>
      <c r="K36" s="29">
        <f>G36*2.54</f>
        <v>0.7396939399192327</v>
      </c>
      <c r="L36" s="30" t="s">
        <v>40</v>
      </c>
      <c r="M36" s="26">
        <f>G36*0.0254</f>
        <v>0.007396939399192327</v>
      </c>
      <c r="N36" s="30" t="s">
        <v>15</v>
      </c>
    </row>
    <row r="37" spans="2:14" s="6" customFormat="1" ht="12.75">
      <c r="B37" s="28" t="s">
        <v>73</v>
      </c>
      <c r="C37" s="28" t="s">
        <v>1</v>
      </c>
      <c r="D37" s="28" t="s">
        <v>58</v>
      </c>
      <c r="E37" s="28"/>
      <c r="F37" s="28" t="s">
        <v>1</v>
      </c>
      <c r="G37" s="25">
        <f>G66/0.0254</f>
        <v>0.09528414956901711</v>
      </c>
      <c r="H37" s="23" t="s">
        <v>22</v>
      </c>
      <c r="I37" s="34">
        <f>G37*25.4</f>
        <v>2.4202173990530342</v>
      </c>
      <c r="J37" s="30" t="s">
        <v>41</v>
      </c>
      <c r="K37" s="29">
        <f>G37*2.54</f>
        <v>0.24202173990530346</v>
      </c>
      <c r="L37" s="30" t="s">
        <v>40</v>
      </c>
      <c r="M37" s="26">
        <f>G37*0.0254</f>
        <v>0.0024202173990530347</v>
      </c>
      <c r="N37" s="30" t="s">
        <v>15</v>
      </c>
    </row>
    <row r="38" spans="2:14" s="6" customFormat="1" ht="12.75">
      <c r="B38" s="28" t="s">
        <v>69</v>
      </c>
      <c r="C38" s="28" t="s">
        <v>1</v>
      </c>
      <c r="D38" s="28" t="s">
        <v>70</v>
      </c>
      <c r="E38" s="28"/>
      <c r="F38" s="28" t="s">
        <v>1</v>
      </c>
      <c r="G38" s="25">
        <f>G73/0.0254</f>
        <v>0.18256378780545052</v>
      </c>
      <c r="H38" s="23" t="s">
        <v>22</v>
      </c>
      <c r="I38" s="34">
        <f>G38*25.4</f>
        <v>4.637120210258443</v>
      </c>
      <c r="J38" s="30" t="s">
        <v>41</v>
      </c>
      <c r="K38" s="29">
        <f>G38*2.54</f>
        <v>0.4637120210258443</v>
      </c>
      <c r="L38" s="30" t="s">
        <v>40</v>
      </c>
      <c r="M38" s="26">
        <f>G38*0.0254</f>
        <v>0.004637120210258443</v>
      </c>
      <c r="N38" s="30" t="s">
        <v>15</v>
      </c>
    </row>
    <row r="39" spans="1:13" ht="12.75">
      <c r="A39" s="6"/>
      <c r="B39" s="6"/>
      <c r="C39" s="6"/>
      <c r="D39" s="6"/>
      <c r="E39" s="6"/>
      <c r="F39" s="6"/>
      <c r="G39" s="6"/>
      <c r="H39" s="6"/>
      <c r="I39" s="43"/>
      <c r="K39" s="14"/>
      <c r="M39" s="10"/>
    </row>
    <row r="40" spans="1:13" ht="12.75">
      <c r="A40" s="6"/>
      <c r="B40" s="28" t="s">
        <v>56</v>
      </c>
      <c r="C40" s="28" t="s">
        <v>1</v>
      </c>
      <c r="D40" s="28" t="s">
        <v>61</v>
      </c>
      <c r="E40" s="28"/>
      <c r="F40" s="28" t="s">
        <v>1</v>
      </c>
      <c r="G40" s="27">
        <f>G77</f>
        <v>70.71067811865476</v>
      </c>
      <c r="H40" s="28" t="s">
        <v>72</v>
      </c>
      <c r="I40" s="43"/>
      <c r="K40" s="14"/>
      <c r="M40" s="10"/>
    </row>
    <row r="41" spans="1:14" ht="12.75">
      <c r="A41" s="6"/>
      <c r="B41" s="28" t="s">
        <v>65</v>
      </c>
      <c r="C41" s="28" t="s">
        <v>1</v>
      </c>
      <c r="D41" s="28" t="s">
        <v>60</v>
      </c>
      <c r="E41" s="28"/>
      <c r="F41" s="28" t="s">
        <v>1</v>
      </c>
      <c r="G41" s="25">
        <f>G82/0.0254</f>
        <v>0.17347511021951123</v>
      </c>
      <c r="H41" s="23" t="s">
        <v>22</v>
      </c>
      <c r="I41" s="34">
        <f>G41*25.4</f>
        <v>4.406267799575585</v>
      </c>
      <c r="J41" s="30" t="s">
        <v>41</v>
      </c>
      <c r="K41" s="29">
        <f>G41*2.54</f>
        <v>0.44062677995755856</v>
      </c>
      <c r="L41" s="30" t="s">
        <v>40</v>
      </c>
      <c r="M41" s="26">
        <f>G41*0.0254</f>
        <v>0.004406267799575585</v>
      </c>
      <c r="N41" s="30" t="s">
        <v>15</v>
      </c>
    </row>
    <row r="42" spans="2:14" s="6" customFormat="1" ht="12.75">
      <c r="B42" s="28" t="s">
        <v>62</v>
      </c>
      <c r="C42" s="28" t="s">
        <v>1</v>
      </c>
      <c r="D42" s="28" t="s">
        <v>57</v>
      </c>
      <c r="E42" s="28"/>
      <c r="F42" s="28" t="s">
        <v>1</v>
      </c>
      <c r="G42" s="25">
        <f>G85/0.0254</f>
        <v>1.184131536932147</v>
      </c>
      <c r="H42" s="23" t="s">
        <v>22</v>
      </c>
      <c r="I42" s="34">
        <f>G42*25.4</f>
        <v>30.076941038076534</v>
      </c>
      <c r="J42" s="30" t="s">
        <v>41</v>
      </c>
      <c r="K42" s="29">
        <f>G42*2.54</f>
        <v>3.0076941038076535</v>
      </c>
      <c r="L42" s="30" t="s">
        <v>40</v>
      </c>
      <c r="M42" s="26">
        <f>G42*0.0254</f>
        <v>0.030076941038076534</v>
      </c>
      <c r="N42" s="30" t="s">
        <v>15</v>
      </c>
    </row>
    <row r="43" spans="9:13" s="6" customFormat="1" ht="12.75">
      <c r="I43" s="43"/>
      <c r="K43" s="15"/>
      <c r="M43" s="12"/>
    </row>
    <row r="44" spans="2:13" s="6" customFormat="1" ht="12.75">
      <c r="B44" s="28" t="s">
        <v>59</v>
      </c>
      <c r="C44" s="28" t="s">
        <v>1</v>
      </c>
      <c r="D44" s="28" t="s">
        <v>67</v>
      </c>
      <c r="E44" s="28"/>
      <c r="F44" s="28" t="s">
        <v>1</v>
      </c>
      <c r="G44" s="24">
        <f>G89</f>
        <v>82.74798780215056</v>
      </c>
      <c r="H44" s="23" t="s">
        <v>72</v>
      </c>
      <c r="I44" s="43"/>
      <c r="K44" s="15"/>
      <c r="M44" s="12"/>
    </row>
    <row r="45" spans="2:14" s="6" customFormat="1" ht="12.75">
      <c r="B45" s="28" t="s">
        <v>64</v>
      </c>
      <c r="C45" s="28" t="s">
        <v>1</v>
      </c>
      <c r="D45" s="28" t="s">
        <v>68</v>
      </c>
      <c r="E45" s="28"/>
      <c r="F45" s="28" t="s">
        <v>1</v>
      </c>
      <c r="G45" s="25">
        <f>G94/0.0254</f>
        <v>0.13363804310217925</v>
      </c>
      <c r="H45" s="23" t="s">
        <v>22</v>
      </c>
      <c r="I45" s="34">
        <f>G45*25.4</f>
        <v>3.3944062947953526</v>
      </c>
      <c r="J45" s="30" t="s">
        <v>41</v>
      </c>
      <c r="K45" s="29">
        <f>G45*2.54</f>
        <v>0.3394406294795353</v>
      </c>
      <c r="L45" s="30" t="s">
        <v>40</v>
      </c>
      <c r="M45" s="26">
        <f>G45*0.0254</f>
        <v>0.0033944062947953526</v>
      </c>
      <c r="N45" s="30" t="s">
        <v>15</v>
      </c>
    </row>
    <row r="46" spans="2:14" s="6" customFormat="1" ht="12.75">
      <c r="B46" s="28" t="s">
        <v>63</v>
      </c>
      <c r="C46" s="28" t="s">
        <v>1</v>
      </c>
      <c r="D46" s="28" t="s">
        <v>57</v>
      </c>
      <c r="E46" s="28"/>
      <c r="F46" s="28" t="s">
        <v>1</v>
      </c>
      <c r="G46" s="25">
        <f>G97/0.0254</f>
        <v>1.1780771181409668</v>
      </c>
      <c r="H46" s="23" t="s">
        <v>22</v>
      </c>
      <c r="I46" s="34">
        <f>G46*25.4</f>
        <v>29.923158800780556</v>
      </c>
      <c r="J46" s="30" t="s">
        <v>41</v>
      </c>
      <c r="K46" s="29">
        <f>G46*2.54</f>
        <v>2.992315880078056</v>
      </c>
      <c r="L46" s="30" t="s">
        <v>40</v>
      </c>
      <c r="M46" s="26">
        <f>G46*0.0254</f>
        <v>0.029923158800780555</v>
      </c>
      <c r="N46" s="30" t="s">
        <v>15</v>
      </c>
    </row>
    <row r="47" s="6" customFormat="1" ht="12.75"/>
    <row r="48" spans="1:16" s="6" customFormat="1" ht="12.75">
      <c r="A48" s="4" t="s">
        <v>71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="6" customFormat="1" ht="12.75"/>
    <row r="50" ht="12.75">
      <c r="A50" s="5" t="s">
        <v>74</v>
      </c>
    </row>
    <row r="52" spans="2:8" ht="12.75">
      <c r="B52" t="s">
        <v>27</v>
      </c>
      <c r="C52" t="s">
        <v>1</v>
      </c>
      <c r="D52" t="s">
        <v>29</v>
      </c>
      <c r="F52" t="s">
        <v>1</v>
      </c>
      <c r="G52">
        <v>50</v>
      </c>
      <c r="H52" t="s">
        <v>10</v>
      </c>
    </row>
    <row r="54" spans="2:11" ht="12.75">
      <c r="B54" t="s">
        <v>16</v>
      </c>
      <c r="C54" t="s">
        <v>1</v>
      </c>
      <c r="D54" t="s">
        <v>17</v>
      </c>
      <c r="F54" t="s">
        <v>1</v>
      </c>
      <c r="G54" s="14">
        <f>377*PI()/(2*G52*SQRT($G$13))</f>
        <v>11.29262431824189</v>
      </c>
      <c r="I54" t="s">
        <v>53</v>
      </c>
      <c r="K54">
        <f>2/PI()*(G54-1-LN(2*G54-1)+(($G$13-1)/(2*$G$13)*(LN(G54-1)+0.39-0.61/$G$13)))</f>
        <v>4.659489385318001</v>
      </c>
    </row>
    <row r="55" spans="2:11" ht="12.75">
      <c r="B55" t="s">
        <v>23</v>
      </c>
      <c r="C55" t="s">
        <v>1</v>
      </c>
      <c r="D55" t="s">
        <v>19</v>
      </c>
      <c r="F55" t="s">
        <v>1</v>
      </c>
      <c r="G55" s="14">
        <f>G52/60*SQRT(($G$13+1)/2)+($G$13-1)/($G$13+1)*(0.23+0.11/$G$13)</f>
        <v>0.8696268495442523</v>
      </c>
      <c r="I55" t="s">
        <v>54</v>
      </c>
      <c r="K55">
        <f>8*EXP(G55)/(EXP(2*G55)-2)</f>
        <v>5.168611336924059</v>
      </c>
    </row>
    <row r="57" spans="2:8" ht="12.75">
      <c r="B57" t="s">
        <v>66</v>
      </c>
      <c r="C57" t="s">
        <v>1</v>
      </c>
      <c r="D57" t="s">
        <v>78</v>
      </c>
      <c r="F57" t="s">
        <v>1</v>
      </c>
      <c r="G57" s="10">
        <f>IF(AND(K54&gt;2,K55&gt;2),K54*$G$19,K55*$G$19)</f>
        <v>0.007396939399192327</v>
      </c>
      <c r="H57" t="s">
        <v>15</v>
      </c>
    </row>
    <row r="59" ht="12.75">
      <c r="A59" s="5" t="s">
        <v>75</v>
      </c>
    </row>
    <row r="61" spans="2:8" ht="12.75">
      <c r="B61" t="s">
        <v>28</v>
      </c>
      <c r="C61" t="s">
        <v>1</v>
      </c>
      <c r="D61" t="s">
        <v>29</v>
      </c>
      <c r="F61" t="s">
        <v>1</v>
      </c>
      <c r="G61">
        <v>100</v>
      </c>
      <c r="H61" t="s">
        <v>10</v>
      </c>
    </row>
    <row r="63" spans="1:11" ht="12.75">
      <c r="A63" s="7"/>
      <c r="B63" t="s">
        <v>16</v>
      </c>
      <c r="C63" t="s">
        <v>1</v>
      </c>
      <c r="D63" t="s">
        <v>17</v>
      </c>
      <c r="F63" t="s">
        <v>1</v>
      </c>
      <c r="G63" s="14">
        <f>377*PI()/(2*G61*SQRT($G$13))</f>
        <v>5.646312159120945</v>
      </c>
      <c r="I63" t="s">
        <v>53</v>
      </c>
      <c r="K63">
        <f>2/PI()*(G63-1-LN(2*G63-1)+(($G$13-1)/(2*$G$13)*(LN(G63-1)+0.39-0.61/$G$13)))</f>
        <v>1.5133895871306884</v>
      </c>
    </row>
    <row r="64" spans="2:11" ht="12.75">
      <c r="B64" t="s">
        <v>23</v>
      </c>
      <c r="C64" t="s">
        <v>1</v>
      </c>
      <c r="D64" t="s">
        <v>19</v>
      </c>
      <c r="F64" t="s">
        <v>1</v>
      </c>
      <c r="G64" s="14">
        <f>G61/60*SQRT(($G$13+1)/2)+($G$13-1)/($G$13+1)*(0.23+0.11/$G$13)</f>
        <v>1.723539413374219</v>
      </c>
      <c r="I64" t="s">
        <v>54</v>
      </c>
      <c r="K64">
        <f>8*EXP(G64)/(EXP(2*G64)-2)</f>
        <v>1.5245463931042738</v>
      </c>
    </row>
    <row r="66" spans="2:8" ht="12.75">
      <c r="B66" t="s">
        <v>73</v>
      </c>
      <c r="C66" t="s">
        <v>1</v>
      </c>
      <c r="D66" t="s">
        <v>79</v>
      </c>
      <c r="F66" t="s">
        <v>1</v>
      </c>
      <c r="G66" s="10">
        <f>IF(AND(K63&gt;2,K64&gt;2),K63*$G$19,K64*$G$19)</f>
        <v>0.0024202173990530347</v>
      </c>
      <c r="H66" t="s">
        <v>15</v>
      </c>
    </row>
    <row r="68" spans="1:8" ht="12.75">
      <c r="A68" s="5" t="s">
        <v>76</v>
      </c>
      <c r="G68" s="3"/>
      <c r="H68" s="3"/>
    </row>
    <row r="69" spans="7:8" ht="12.75">
      <c r="G69" s="3"/>
      <c r="H69" s="3"/>
    </row>
    <row r="70" spans="2:11" ht="12.75">
      <c r="B70" t="s">
        <v>16</v>
      </c>
      <c r="C70" t="s">
        <v>1</v>
      </c>
      <c r="D70" t="s">
        <v>17</v>
      </c>
      <c r="F70" t="s">
        <v>1</v>
      </c>
      <c r="G70" s="14">
        <f>377*PI()/(2*$G$32*SQRT($G$13))</f>
        <v>8.246126657852997</v>
      </c>
      <c r="I70" t="s">
        <v>53</v>
      </c>
      <c r="K70">
        <f>2/PI()*(G70-1-LN(2*G70-1)+(($G$13-1)/(2*$G$13)*(LN(G70-1)+0.39-0.61/$G$13)))</f>
        <v>2.9210206048872087</v>
      </c>
    </row>
    <row r="71" spans="2:11" ht="12.75">
      <c r="B71" t="s">
        <v>18</v>
      </c>
      <c r="C71" t="s">
        <v>1</v>
      </c>
      <c r="D71" t="s">
        <v>19</v>
      </c>
      <c r="F71" t="s">
        <v>1</v>
      </c>
      <c r="G71" s="14">
        <f>$G$32/60*SQRT(($G$13+1)/2)+($G$13-1)/($G$13+1)*(0.23+0.11/$G$13)</f>
        <v>1.1851013427000485</v>
      </c>
      <c r="I71" t="s">
        <v>54</v>
      </c>
      <c r="K71">
        <f>8*EXP(G71)/(EXP(2*G71)-2)</f>
        <v>3.00798480095823</v>
      </c>
    </row>
    <row r="73" spans="2:8" ht="12.75">
      <c r="B73" t="s">
        <v>69</v>
      </c>
      <c r="C73" t="s">
        <v>1</v>
      </c>
      <c r="D73" t="s">
        <v>80</v>
      </c>
      <c r="F73" t="s">
        <v>1</v>
      </c>
      <c r="G73" s="10">
        <f>IF(AND(K70&gt;2,K71&gt;2),K70*$G$19,K71*$G$19)</f>
        <v>0.004637120210258443</v>
      </c>
      <c r="H73" t="s">
        <v>15</v>
      </c>
    </row>
    <row r="75" ht="12.75">
      <c r="A75" s="5" t="s">
        <v>77</v>
      </c>
    </row>
    <row r="77" spans="2:8" ht="12.75">
      <c r="B77" t="s">
        <v>56</v>
      </c>
      <c r="C77" t="s">
        <v>1</v>
      </c>
      <c r="D77" t="s">
        <v>81</v>
      </c>
      <c r="F77" t="s">
        <v>1</v>
      </c>
      <c r="G77" s="14">
        <f>SQRT(100*50)</f>
        <v>70.71067811865476</v>
      </c>
      <c r="H77" t="s">
        <v>10</v>
      </c>
    </row>
    <row r="79" spans="2:11" ht="12.75">
      <c r="B79" t="s">
        <v>16</v>
      </c>
      <c r="C79" t="s">
        <v>1</v>
      </c>
      <c r="D79" t="s">
        <v>17</v>
      </c>
      <c r="F79" t="s">
        <v>1</v>
      </c>
      <c r="G79" s="14">
        <f>377*PI()/(2*G77*SQRT($G$13))</f>
        <v>7.9850912328209525</v>
      </c>
      <c r="I79" t="s">
        <v>53</v>
      </c>
      <c r="K79">
        <f>2/PI()*(G79-1-LN(2*G79-1)+(($G$13-1)/(2*$G$13)*(LN(G79-1)+0.39-0.61/$G$13)))</f>
        <v>2.7756017635121792</v>
      </c>
    </row>
    <row r="80" spans="2:11" ht="12.75">
      <c r="B80" t="s">
        <v>23</v>
      </c>
      <c r="C80" t="s">
        <v>1</v>
      </c>
      <c r="D80" t="s">
        <v>19</v>
      </c>
      <c r="F80" t="s">
        <v>1</v>
      </c>
      <c r="G80" s="14">
        <f>G77/60*SQRT(($G$13+1)/2)+($G$13-1)/($G$13+1)*(0.23+0.11/$G$13)</f>
        <v>1.223329014563406</v>
      </c>
      <c r="I80" t="s">
        <v>54</v>
      </c>
      <c r="K80">
        <f>8*EXP(G80)/(EXP(2*G80)-2)</f>
        <v>2.846990722361877</v>
      </c>
    </row>
    <row r="82" spans="2:8" ht="12.75">
      <c r="B82" t="s">
        <v>65</v>
      </c>
      <c r="C82" t="s">
        <v>1</v>
      </c>
      <c r="D82" t="s">
        <v>82</v>
      </c>
      <c r="F82" t="s">
        <v>1</v>
      </c>
      <c r="G82" s="10">
        <f>IF(AND(K79&gt;2,K80&gt;2),K79*$G$19,K80*$G$19)</f>
        <v>0.004406267799575585</v>
      </c>
      <c r="H82" t="s">
        <v>15</v>
      </c>
    </row>
    <row r="83" spans="2:7" ht="12.75">
      <c r="B83" t="s">
        <v>24</v>
      </c>
      <c r="C83" t="s">
        <v>1</v>
      </c>
      <c r="D83" t="s">
        <v>25</v>
      </c>
      <c r="F83" t="s">
        <v>1</v>
      </c>
      <c r="G83" s="11">
        <f>($G$13+1)/2+($G$13-1)/2/SQRT(1+12/($G$19/G82))</f>
        <v>1.0585364486696494</v>
      </c>
    </row>
    <row r="84" spans="2:8" ht="12.75">
      <c r="B84" t="s">
        <v>83</v>
      </c>
      <c r="C84" t="s">
        <v>1</v>
      </c>
      <c r="D84" t="s">
        <v>84</v>
      </c>
      <c r="F84" t="s">
        <v>1</v>
      </c>
      <c r="G84" s="10">
        <f>$M$24/SQRT(G83)</f>
        <v>0.12030776415230612</v>
      </c>
      <c r="H84" t="s">
        <v>15</v>
      </c>
    </row>
    <row r="85" spans="2:8" ht="12.75">
      <c r="B85" t="s">
        <v>62</v>
      </c>
      <c r="C85" t="s">
        <v>1</v>
      </c>
      <c r="D85" t="s">
        <v>85</v>
      </c>
      <c r="F85" t="s">
        <v>1</v>
      </c>
      <c r="G85" s="10">
        <f>G84/4</f>
        <v>0.03007694103807653</v>
      </c>
      <c r="H85" t="s">
        <v>15</v>
      </c>
    </row>
    <row r="86" ht="12.75">
      <c r="G86" s="10"/>
    </row>
    <row r="87" ht="12.75">
      <c r="A87" s="5" t="s">
        <v>86</v>
      </c>
    </row>
    <row r="89" spans="2:8" ht="12.75">
      <c r="B89" t="s">
        <v>59</v>
      </c>
      <c r="C89" t="s">
        <v>1</v>
      </c>
      <c r="D89" t="s">
        <v>81</v>
      </c>
      <c r="F89" t="s">
        <v>1</v>
      </c>
      <c r="G89" s="14">
        <f>SQRT(100*$G$32)</f>
        <v>82.74798780215056</v>
      </c>
      <c r="H89" t="s">
        <v>10</v>
      </c>
    </row>
    <row r="91" spans="2:11" ht="12.75">
      <c r="B91" t="s">
        <v>16</v>
      </c>
      <c r="C91" t="s">
        <v>1</v>
      </c>
      <c r="D91" t="s">
        <v>17</v>
      </c>
      <c r="F91" t="s">
        <v>1</v>
      </c>
      <c r="G91" s="14">
        <f>377*PI()/(2*G89*SQRT($G$13))</f>
        <v>6.823503880990083</v>
      </c>
      <c r="I91" t="s">
        <v>53</v>
      </c>
      <c r="K91">
        <f>2/PI()*(G91-1-LN(2*G91-1)+(($G$13-1)/(2*$G$13)*(LN(G91-1)+0.39-0.61/$G$13)))</f>
        <v>2.138208689634868</v>
      </c>
    </row>
    <row r="92" spans="2:11" ht="12.75">
      <c r="B92" t="s">
        <v>23</v>
      </c>
      <c r="C92" t="s">
        <v>1</v>
      </c>
      <c r="D92" t="s">
        <v>19</v>
      </c>
      <c r="F92" t="s">
        <v>1</v>
      </c>
      <c r="G92" s="14">
        <f>G89/60*SQRT(($G$13+1)/2)+($G$13-1)/($G$13+1)*(0.23+0.11/$G$13)</f>
        <v>1.4289052140323897</v>
      </c>
      <c r="I92" t="s">
        <v>54</v>
      </c>
      <c r="K92">
        <f>8*EXP(G92)/(EXP(2*G92)-2)</f>
        <v>2.165096864090032</v>
      </c>
    </row>
    <row r="94" spans="2:8" ht="12.75">
      <c r="B94" t="s">
        <v>64</v>
      </c>
      <c r="C94" t="s">
        <v>1</v>
      </c>
      <c r="D94" t="s">
        <v>82</v>
      </c>
      <c r="F94" t="s">
        <v>1</v>
      </c>
      <c r="G94" s="10">
        <f>IF(AND(K91&gt;2,K92&gt;2),K91*$G$19,K92*$G$19)</f>
        <v>0.0033944062947953526</v>
      </c>
      <c r="H94" t="s">
        <v>15</v>
      </c>
    </row>
    <row r="95" spans="2:7" ht="12.75">
      <c r="B95" t="s">
        <v>24</v>
      </c>
      <c r="C95" t="s">
        <v>1</v>
      </c>
      <c r="D95" t="s">
        <v>25</v>
      </c>
      <c r="F95" t="s">
        <v>1</v>
      </c>
      <c r="G95" s="11">
        <f>($G$13+1)/2+($G$13-1)/2/SQRT(1+12/(G94/$G$19))</f>
        <v>1.069444548148983</v>
      </c>
    </row>
    <row r="96" spans="2:8" ht="12.75">
      <c r="B96" t="s">
        <v>26</v>
      </c>
      <c r="C96" t="s">
        <v>1</v>
      </c>
      <c r="D96" t="s">
        <v>84</v>
      </c>
      <c r="F96" t="s">
        <v>1</v>
      </c>
      <c r="G96" s="10">
        <f>M24/SQRT(G95)</f>
        <v>0.11969263520312222</v>
      </c>
      <c r="H96" t="s">
        <v>15</v>
      </c>
    </row>
    <row r="97" spans="2:8" ht="12.75">
      <c r="B97" t="s">
        <v>63</v>
      </c>
      <c r="C97" t="s">
        <v>1</v>
      </c>
      <c r="D97" t="s">
        <v>85</v>
      </c>
      <c r="F97" t="s">
        <v>1</v>
      </c>
      <c r="G97" s="10">
        <f>G96/4</f>
        <v>0.029923158800780555</v>
      </c>
      <c r="H97" t="s">
        <v>15</v>
      </c>
    </row>
    <row r="99" spans="1:16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</row>
  </sheetData>
  <mergeCells count="1">
    <mergeCell ref="H31:I31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9"/>
  <sheetViews>
    <sheetView workbookViewId="0" topLeftCell="A1">
      <selection activeCell="A1" sqref="A1"/>
    </sheetView>
  </sheetViews>
  <sheetFormatPr defaultColWidth="9.140625" defaultRowHeight="12.75"/>
  <cols>
    <col min="2" max="2" width="12.28125" style="0" customWidth="1"/>
    <col min="5" max="5" width="12.28125" style="0" customWidth="1"/>
    <col min="7" max="7" width="11.57421875" style="0" bestFit="1" customWidth="1"/>
    <col min="13" max="13" width="12.421875" style="0" bestFit="1" customWidth="1"/>
    <col min="18" max="18" width="10.57421875" style="0" bestFit="1" customWidth="1"/>
  </cols>
  <sheetData>
    <row r="1" ht="12.75">
      <c r="A1" s="7" t="s">
        <v>52</v>
      </c>
    </row>
    <row r="2" ht="12.75">
      <c r="A2" s="13">
        <v>37825</v>
      </c>
    </row>
    <row r="3" ht="12.75">
      <c r="A3" s="13"/>
    </row>
    <row r="4" spans="1:3" ht="12.75">
      <c r="A4" s="33"/>
      <c r="B4" t="s">
        <v>1</v>
      </c>
      <c r="C4" t="s">
        <v>87</v>
      </c>
    </row>
    <row r="5" spans="1:3" ht="12.75">
      <c r="A5" s="32"/>
      <c r="B5" t="s">
        <v>1</v>
      </c>
      <c r="C5" t="s">
        <v>88</v>
      </c>
    </row>
    <row r="6" ht="12.75">
      <c r="A6" s="13"/>
    </row>
    <row r="7" spans="1:16" ht="12.75">
      <c r="A7" s="4" t="s">
        <v>21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="6" customFormat="1" ht="12.75"/>
    <row r="9" spans="2:8" ht="12.75">
      <c r="B9" t="s">
        <v>13</v>
      </c>
      <c r="C9" t="s">
        <v>1</v>
      </c>
      <c r="D9" t="s">
        <v>14</v>
      </c>
      <c r="F9" t="s">
        <v>1</v>
      </c>
      <c r="G9" s="2">
        <v>299792458</v>
      </c>
      <c r="H9" t="s">
        <v>12</v>
      </c>
    </row>
    <row r="10" ht="12.75">
      <c r="G10" s="2"/>
    </row>
    <row r="11" spans="1:16" ht="12.75">
      <c r="A11" s="4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="6" customFormat="1" ht="12.75"/>
    <row r="13" spans="2:16" ht="12.75">
      <c r="B13" s="1" t="s">
        <v>0</v>
      </c>
      <c r="C13" s="1" t="s">
        <v>1</v>
      </c>
      <c r="D13" s="1" t="s">
        <v>4</v>
      </c>
      <c r="E13" s="1"/>
      <c r="F13" s="1" t="s">
        <v>1</v>
      </c>
      <c r="G13" s="36">
        <v>2.94</v>
      </c>
      <c r="H13" s="1"/>
      <c r="I13" s="1"/>
      <c r="J13" s="1"/>
      <c r="K13" s="1"/>
      <c r="L13" s="1"/>
      <c r="M13" s="1"/>
      <c r="N13" s="1"/>
      <c r="O13" s="1"/>
      <c r="P13" s="1"/>
    </row>
    <row r="14" spans="2:16" ht="12.75">
      <c r="B14" s="1" t="s">
        <v>2</v>
      </c>
      <c r="C14" s="1" t="s">
        <v>1</v>
      </c>
      <c r="D14" s="1" t="s">
        <v>5</v>
      </c>
      <c r="E14" s="1"/>
      <c r="F14" s="1" t="s">
        <v>1</v>
      </c>
      <c r="G14" s="41">
        <v>2422000000</v>
      </c>
      <c r="H14" s="1" t="s">
        <v>9</v>
      </c>
      <c r="I14" s="1"/>
      <c r="J14" s="1"/>
      <c r="K14" s="1"/>
      <c r="L14" s="1"/>
      <c r="M14" s="1"/>
      <c r="N14" s="1"/>
      <c r="O14" s="1"/>
      <c r="P14" s="1"/>
    </row>
    <row r="15" spans="2:16" ht="12.75">
      <c r="B15" s="1" t="s">
        <v>36</v>
      </c>
      <c r="C15" s="1" t="s">
        <v>1</v>
      </c>
      <c r="D15" s="1" t="s">
        <v>8</v>
      </c>
      <c r="E15" s="1"/>
      <c r="F15" s="1" t="s">
        <v>1</v>
      </c>
      <c r="G15" s="36"/>
      <c r="H15" s="1" t="s">
        <v>10</v>
      </c>
      <c r="I15" s="1" t="s">
        <v>100</v>
      </c>
      <c r="J15" s="1"/>
      <c r="K15" s="1"/>
      <c r="L15" s="1"/>
      <c r="M15" s="1"/>
      <c r="N15" s="1"/>
      <c r="O15" s="1"/>
      <c r="P15" s="1"/>
    </row>
    <row r="16" spans="2:16" ht="12.75">
      <c r="B16" s="1"/>
      <c r="C16" s="1"/>
      <c r="D16" s="1"/>
      <c r="E16" s="1"/>
      <c r="F16" s="1"/>
      <c r="G16" s="47"/>
      <c r="H16" s="1"/>
      <c r="I16" s="1"/>
      <c r="J16" s="1"/>
      <c r="K16" s="1"/>
      <c r="L16" s="1"/>
      <c r="M16" s="1"/>
      <c r="N16" s="1"/>
      <c r="O16" s="1"/>
      <c r="P16" s="1"/>
    </row>
    <row r="17" spans="2:16" ht="12" customHeight="1">
      <c r="B17" s="1" t="s">
        <v>44</v>
      </c>
      <c r="C17" s="1" t="s">
        <v>1</v>
      </c>
      <c r="D17" s="1" t="s">
        <v>45</v>
      </c>
      <c r="E17" s="1"/>
      <c r="F17" s="1" t="s">
        <v>1</v>
      </c>
      <c r="G17" s="37">
        <f>IF(ISBLANK(I17),IF(ISBLANK(K17),IF(ISBLANK(M17),IF(ISBLANK(O17),"NO VALUE!",O17*0.0254),M17/1000),K17/100),I17)</f>
        <v>0.13335</v>
      </c>
      <c r="H17" s="35" t="s">
        <v>15</v>
      </c>
      <c r="I17" s="38"/>
      <c r="J17" s="1" t="s">
        <v>15</v>
      </c>
      <c r="K17" s="38"/>
      <c r="L17" s="1" t="s">
        <v>40</v>
      </c>
      <c r="M17" s="38"/>
      <c r="N17" s="1" t="s">
        <v>41</v>
      </c>
      <c r="O17" s="38">
        <v>5.25</v>
      </c>
      <c r="P17" s="1" t="s">
        <v>22</v>
      </c>
    </row>
    <row r="18" spans="2:16" ht="12.75">
      <c r="B18" s="1" t="s">
        <v>48</v>
      </c>
      <c r="C18" s="1" t="s">
        <v>1</v>
      </c>
      <c r="D18" s="1" t="s">
        <v>46</v>
      </c>
      <c r="E18" s="1"/>
      <c r="F18" s="1" t="s">
        <v>1</v>
      </c>
      <c r="G18" s="37">
        <f>IF(ISBLANK(I18),IF(ISBLANK(K18),IF(ISBLANK(M18),IF(ISBLANK(O18),"NO VALUE!",O18*0.0254),M18/1000),K18/100),I18)</f>
        <v>3.556E-05</v>
      </c>
      <c r="H18" s="1" t="s">
        <v>15</v>
      </c>
      <c r="I18" s="39"/>
      <c r="J18" s="1" t="s">
        <v>15</v>
      </c>
      <c r="K18" s="39"/>
      <c r="L18" s="1" t="s">
        <v>40</v>
      </c>
      <c r="M18" s="39"/>
      <c r="N18" s="1" t="s">
        <v>41</v>
      </c>
      <c r="O18" s="39">
        <v>0.0014</v>
      </c>
      <c r="P18" s="1" t="s">
        <v>22</v>
      </c>
    </row>
    <row r="19" spans="2:16" ht="12.75">
      <c r="B19" s="1" t="s">
        <v>3</v>
      </c>
      <c r="C19" s="1" t="s">
        <v>1</v>
      </c>
      <c r="D19" s="1" t="s">
        <v>7</v>
      </c>
      <c r="E19" s="1"/>
      <c r="F19" s="1" t="s">
        <v>1</v>
      </c>
      <c r="G19" s="37">
        <f>IF(ISBLANK(I19),IF(ISBLANK(K19),IF(ISBLANK(M19),IF(ISBLANK(O19),"NO VALUE!",O19*0.0254),M19/1000),K19/100),I19)</f>
        <v>0.001524</v>
      </c>
      <c r="H19" s="1" t="s">
        <v>15</v>
      </c>
      <c r="I19" s="39"/>
      <c r="J19" s="1" t="s">
        <v>15</v>
      </c>
      <c r="K19" s="39"/>
      <c r="L19" s="1" t="s">
        <v>40</v>
      </c>
      <c r="M19" s="39"/>
      <c r="N19" s="1" t="s">
        <v>41</v>
      </c>
      <c r="O19" s="39">
        <v>0.06</v>
      </c>
      <c r="P19" s="1" t="s">
        <v>22</v>
      </c>
    </row>
    <row r="20" spans="2:16" ht="12.75">
      <c r="B20" s="1" t="s">
        <v>47</v>
      </c>
      <c r="C20" s="1"/>
      <c r="D20" s="1" t="s">
        <v>6</v>
      </c>
      <c r="E20" s="1"/>
      <c r="F20" s="1" t="s">
        <v>1</v>
      </c>
      <c r="G20" s="37">
        <f>IF(ISBLANK(I20),IF(ISBLANK(K20),IF(ISBLANK(M20),IF(ISBLANK(O20),"NO VALUE!",O20*0.0254),M20/1000),K20/100),I20)</f>
        <v>3.556E-05</v>
      </c>
      <c r="H20" s="1" t="s">
        <v>15</v>
      </c>
      <c r="I20" s="40"/>
      <c r="J20" s="1" t="s">
        <v>15</v>
      </c>
      <c r="K20" s="40"/>
      <c r="L20" s="1" t="s">
        <v>40</v>
      </c>
      <c r="M20" s="40"/>
      <c r="N20" s="1" t="s">
        <v>41</v>
      </c>
      <c r="O20" s="40">
        <v>0.0014</v>
      </c>
      <c r="P20" s="1" t="s">
        <v>22</v>
      </c>
    </row>
    <row r="21" ht="12.75">
      <c r="G21" s="8"/>
    </row>
    <row r="22" spans="1:16" ht="12.75">
      <c r="A22" s="4" t="s">
        <v>39</v>
      </c>
      <c r="B22" s="4"/>
      <c r="C22" s="4"/>
      <c r="D22" s="4"/>
      <c r="E22" s="4"/>
      <c r="F22" s="4"/>
      <c r="G22" s="9"/>
      <c r="H22" s="4"/>
      <c r="I22" s="4"/>
      <c r="J22" s="4"/>
      <c r="K22" s="4"/>
      <c r="L22" s="4"/>
      <c r="M22" s="4"/>
      <c r="N22" s="4"/>
      <c r="O22" s="4"/>
      <c r="P22" s="4"/>
    </row>
    <row r="23" ht="12.75">
      <c r="G23" s="8"/>
    </row>
    <row r="24" spans="2:14" ht="12.75">
      <c r="B24" t="s">
        <v>42</v>
      </c>
      <c r="C24" t="s">
        <v>1</v>
      </c>
      <c r="D24" t="s">
        <v>11</v>
      </c>
      <c r="F24" t="s">
        <v>1</v>
      </c>
      <c r="G24" s="17">
        <f>M24/0.0254</f>
        <v>4.873184424923764</v>
      </c>
      <c r="H24" t="s">
        <v>22</v>
      </c>
      <c r="I24" s="21">
        <f>M24*1000</f>
        <v>123.77888439306359</v>
      </c>
      <c r="J24" s="16" t="s">
        <v>41</v>
      </c>
      <c r="K24" s="20">
        <f>M24*100</f>
        <v>12.377888439306359</v>
      </c>
      <c r="L24" s="16" t="s">
        <v>40</v>
      </c>
      <c r="M24" s="18">
        <f>G9/G14</f>
        <v>0.12377888439306359</v>
      </c>
      <c r="N24" s="19" t="s">
        <v>15</v>
      </c>
    </row>
    <row r="25" spans="7:13" ht="12.75">
      <c r="G25" s="3"/>
      <c r="H25" s="3"/>
      <c r="M25" s="17"/>
    </row>
    <row r="26" spans="1:16" ht="12.75">
      <c r="A26" s="4" t="s">
        <v>38</v>
      </c>
      <c r="B26" s="4"/>
      <c r="C26" s="4"/>
      <c r="D26" s="4"/>
      <c r="E26" s="4"/>
      <c r="F26" s="4"/>
      <c r="G26" s="9"/>
      <c r="H26" s="4"/>
      <c r="I26" s="4"/>
      <c r="J26" s="4"/>
      <c r="K26" s="4"/>
      <c r="L26" s="4"/>
      <c r="M26" s="31"/>
      <c r="N26" s="4"/>
      <c r="O26" s="4"/>
      <c r="P26" s="4"/>
    </row>
    <row r="27" spans="7:13" ht="12.75">
      <c r="G27" s="8"/>
      <c r="M27" s="17"/>
    </row>
    <row r="28" spans="2:14" ht="12.75">
      <c r="B28" s="28" t="s">
        <v>49</v>
      </c>
      <c r="C28" s="28" t="s">
        <v>1</v>
      </c>
      <c r="D28" s="28" t="s">
        <v>31</v>
      </c>
      <c r="E28" s="28"/>
      <c r="F28" s="28" t="s">
        <v>1</v>
      </c>
      <c r="G28" s="42">
        <f>M28/0.0254</f>
        <v>5.3728</v>
      </c>
      <c r="H28" s="28" t="s">
        <v>22</v>
      </c>
      <c r="I28" s="34">
        <f>M28*1000</f>
        <v>136.46912</v>
      </c>
      <c r="J28" s="30" t="s">
        <v>41</v>
      </c>
      <c r="K28" s="29">
        <f>M28*100</f>
        <v>13.646912</v>
      </c>
      <c r="L28" s="30" t="s">
        <v>40</v>
      </c>
      <c r="M28" s="26">
        <f>G17+2*G18+2*G19</f>
        <v>0.13646912</v>
      </c>
      <c r="N28" s="30" t="s">
        <v>15</v>
      </c>
    </row>
    <row r="29" spans="2:14" ht="12.75">
      <c r="B29" s="28" t="s">
        <v>50</v>
      </c>
      <c r="C29" s="28" t="s">
        <v>1</v>
      </c>
      <c r="D29" s="28" t="s">
        <v>30</v>
      </c>
      <c r="E29" s="28"/>
      <c r="F29" s="28" t="s">
        <v>1</v>
      </c>
      <c r="G29" s="42">
        <f>M29/0.0254</f>
        <v>1.4210494361358927</v>
      </c>
      <c r="H29" s="28" t="s">
        <v>22</v>
      </c>
      <c r="I29" s="34">
        <f>M29*1000</f>
        <v>36.09465567785168</v>
      </c>
      <c r="J29" s="30" t="s">
        <v>41</v>
      </c>
      <c r="K29" s="29">
        <f>M29*100</f>
        <v>3.6094655677851675</v>
      </c>
      <c r="L29" s="30" t="s">
        <v>40</v>
      </c>
      <c r="M29" s="26">
        <f>$M$24/(2*SQRT($G13))</f>
        <v>0.036094655677851674</v>
      </c>
      <c r="N29" s="30" t="s">
        <v>15</v>
      </c>
    </row>
    <row r="30" spans="2:14" ht="12.75">
      <c r="B30" s="28" t="s">
        <v>51</v>
      </c>
      <c r="C30" s="28" t="s">
        <v>1</v>
      </c>
      <c r="D30" s="28" t="s">
        <v>32</v>
      </c>
      <c r="E30" s="28"/>
      <c r="F30" s="28" t="s">
        <v>1</v>
      </c>
      <c r="G30" s="42">
        <f>M30/0.0254</f>
        <v>16.87914900920724</v>
      </c>
      <c r="H30" s="28" t="s">
        <v>22</v>
      </c>
      <c r="I30" s="34">
        <f>M30*1000</f>
        <v>428.73038483386387</v>
      </c>
      <c r="J30" s="30" t="s">
        <v>41</v>
      </c>
      <c r="K30" s="29">
        <f>M30*100</f>
        <v>42.87303848338639</v>
      </c>
      <c r="L30" s="30" t="s">
        <v>40</v>
      </c>
      <c r="M30" s="26">
        <f>PI()*$M$28</f>
        <v>0.4287303848338639</v>
      </c>
      <c r="N30" s="30" t="s">
        <v>15</v>
      </c>
    </row>
    <row r="31" spans="2:13" ht="12.75">
      <c r="B31" s="28" t="s">
        <v>33</v>
      </c>
      <c r="C31" s="28" t="s">
        <v>1</v>
      </c>
      <c r="D31" s="28" t="s">
        <v>34</v>
      </c>
      <c r="E31" s="28"/>
      <c r="F31" s="28" t="s">
        <v>1</v>
      </c>
      <c r="G31" s="11">
        <f>M30/(M24/SQRT($G$13))</f>
        <v>5.938973191215958</v>
      </c>
      <c r="H31" s="22" t="s">
        <v>43</v>
      </c>
      <c r="I31" s="22"/>
      <c r="J31" s="23">
        <f>IF(G31&lt;1,1,IF(G31&lt;2,2,IF(G31&lt;4,4,IF(G31&lt;8,8,IF(G31&lt;16,16,"Error! Too many Lambda")))))</f>
        <v>8</v>
      </c>
      <c r="M31" s="17"/>
    </row>
    <row r="32" spans="2:13" ht="12.75">
      <c r="B32" s="28" t="s">
        <v>36</v>
      </c>
      <c r="C32" s="28" t="s">
        <v>1</v>
      </c>
      <c r="D32" s="28" t="s">
        <v>35</v>
      </c>
      <c r="E32" s="28"/>
      <c r="F32" s="28" t="s">
        <v>1</v>
      </c>
      <c r="G32" s="24">
        <f>IF(ISBLANK($G$15),J31*60*M24/M30,$G$15)</f>
        <v>138.58095113014633</v>
      </c>
      <c r="H32" s="23" t="s">
        <v>10</v>
      </c>
      <c r="I32" s="6"/>
      <c r="J32" s="6"/>
      <c r="M32" s="17"/>
    </row>
    <row r="33" ht="12.75">
      <c r="M33" s="17"/>
    </row>
    <row r="34" spans="1:16" ht="12.75">
      <c r="A34" s="4" t="s">
        <v>37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31"/>
      <c r="N34" s="4"/>
      <c r="O34" s="4"/>
      <c r="P34" s="4"/>
    </row>
    <row r="35" spans="1:13" ht="12.75">
      <c r="A35" s="6"/>
      <c r="B35" s="6"/>
      <c r="C35" s="6"/>
      <c r="D35" s="6"/>
      <c r="E35" s="6"/>
      <c r="F35" s="6"/>
      <c r="G35" s="6"/>
      <c r="H35" s="6"/>
      <c r="I35" s="6"/>
      <c r="M35" s="17"/>
    </row>
    <row r="36" spans="1:14" ht="12.75">
      <c r="A36" s="6"/>
      <c r="B36" s="28" t="s">
        <v>66</v>
      </c>
      <c r="C36" s="28" t="s">
        <v>1</v>
      </c>
      <c r="D36" s="28" t="s">
        <v>55</v>
      </c>
      <c r="E36" s="28"/>
      <c r="F36" s="28" t="s">
        <v>1</v>
      </c>
      <c r="G36" s="25">
        <f>G57/0.0254</f>
        <v>0.15290665112559731</v>
      </c>
      <c r="H36" s="23" t="s">
        <v>22</v>
      </c>
      <c r="I36" s="34">
        <f>G36*25.4</f>
        <v>3.8838289385901716</v>
      </c>
      <c r="J36" s="30" t="s">
        <v>41</v>
      </c>
      <c r="K36" s="29">
        <f>G36*2.54</f>
        <v>0.3883828938590172</v>
      </c>
      <c r="L36" s="30" t="s">
        <v>40</v>
      </c>
      <c r="M36" s="26">
        <f>G36*0.0254</f>
        <v>0.0038838289385901715</v>
      </c>
      <c r="N36" s="30" t="s">
        <v>15</v>
      </c>
    </row>
    <row r="37" spans="2:14" s="6" customFormat="1" ht="12.75">
      <c r="B37" s="28" t="s">
        <v>73</v>
      </c>
      <c r="C37" s="28" t="s">
        <v>1</v>
      </c>
      <c r="D37" s="28" t="s">
        <v>58</v>
      </c>
      <c r="E37" s="28"/>
      <c r="F37" s="28" t="s">
        <v>1</v>
      </c>
      <c r="G37" s="25">
        <f>G66/0.0254</f>
        <v>0.04114990648181216</v>
      </c>
      <c r="H37" s="23" t="s">
        <v>22</v>
      </c>
      <c r="I37" s="34">
        <f>G37*25.4</f>
        <v>1.0452076246380289</v>
      </c>
      <c r="J37" s="30" t="s">
        <v>41</v>
      </c>
      <c r="K37" s="29">
        <f>G37*2.54</f>
        <v>0.10452076246380289</v>
      </c>
      <c r="L37" s="30" t="s">
        <v>40</v>
      </c>
      <c r="M37" s="26">
        <f>G37*0.0254</f>
        <v>0.0010452076246380288</v>
      </c>
      <c r="N37" s="30" t="s">
        <v>15</v>
      </c>
    </row>
    <row r="38" spans="2:14" s="6" customFormat="1" ht="12.75">
      <c r="B38" s="28" t="s">
        <v>69</v>
      </c>
      <c r="C38" s="28" t="s">
        <v>1</v>
      </c>
      <c r="D38" s="28" t="s">
        <v>70</v>
      </c>
      <c r="E38" s="28"/>
      <c r="F38" s="28" t="s">
        <v>1</v>
      </c>
      <c r="G38" s="25">
        <f>G73/0.0254</f>
        <v>0.016488655504847478</v>
      </c>
      <c r="H38" s="23" t="s">
        <v>22</v>
      </c>
      <c r="I38" s="34">
        <f>G38*25.4</f>
        <v>0.4188118498231259</v>
      </c>
      <c r="J38" s="30" t="s">
        <v>41</v>
      </c>
      <c r="K38" s="29">
        <f>G38*2.54</f>
        <v>0.041881184982312594</v>
      </c>
      <c r="L38" s="30" t="s">
        <v>40</v>
      </c>
      <c r="M38" s="26">
        <f>G38*0.0254</f>
        <v>0.00041881184982312593</v>
      </c>
      <c r="N38" s="30" t="s">
        <v>15</v>
      </c>
    </row>
    <row r="39" spans="1:13" ht="12.75">
      <c r="A39" s="6"/>
      <c r="B39" s="6"/>
      <c r="C39" s="6"/>
      <c r="D39" s="6"/>
      <c r="E39" s="6"/>
      <c r="F39" s="6"/>
      <c r="G39" s="6"/>
      <c r="H39" s="6"/>
      <c r="I39" s="43"/>
      <c r="K39" s="14"/>
      <c r="M39" s="10"/>
    </row>
    <row r="40" spans="1:13" ht="12.75">
      <c r="A40" s="6"/>
      <c r="B40" s="28" t="s">
        <v>56</v>
      </c>
      <c r="C40" s="28" t="s">
        <v>1</v>
      </c>
      <c r="D40" s="28" t="s">
        <v>61</v>
      </c>
      <c r="E40" s="28"/>
      <c r="F40" s="28" t="s">
        <v>1</v>
      </c>
      <c r="G40" s="27">
        <f>G77</f>
        <v>70.71067811865476</v>
      </c>
      <c r="H40" s="28" t="s">
        <v>72</v>
      </c>
      <c r="I40" s="43"/>
      <c r="K40" s="14"/>
      <c r="M40" s="10"/>
    </row>
    <row r="41" spans="1:14" ht="12.75">
      <c r="A41" s="6"/>
      <c r="B41" s="28" t="s">
        <v>65</v>
      </c>
      <c r="C41" s="28" t="s">
        <v>1</v>
      </c>
      <c r="D41" s="28" t="s">
        <v>60</v>
      </c>
      <c r="E41" s="28"/>
      <c r="F41" s="28" t="s">
        <v>1</v>
      </c>
      <c r="G41" s="25">
        <f>G82/0.0254</f>
        <v>0.08527321626057106</v>
      </c>
      <c r="H41" s="23" t="s">
        <v>22</v>
      </c>
      <c r="I41" s="34">
        <f>G41*25.4</f>
        <v>2.165939693018505</v>
      </c>
      <c r="J41" s="30" t="s">
        <v>41</v>
      </c>
      <c r="K41" s="29">
        <f>G41*2.54</f>
        <v>0.21659396930185051</v>
      </c>
      <c r="L41" s="30" t="s">
        <v>40</v>
      </c>
      <c r="M41" s="26">
        <f>G41*0.0254</f>
        <v>0.002165939693018505</v>
      </c>
      <c r="N41" s="30" t="s">
        <v>15</v>
      </c>
    </row>
    <row r="42" spans="2:14" s="6" customFormat="1" ht="12.75">
      <c r="B42" s="28" t="s">
        <v>62</v>
      </c>
      <c r="C42" s="28" t="s">
        <v>1</v>
      </c>
      <c r="D42" s="28" t="s">
        <v>57</v>
      </c>
      <c r="E42" s="28"/>
      <c r="F42" s="28" t="s">
        <v>1</v>
      </c>
      <c r="G42" s="25">
        <f>G85/0.0254</f>
        <v>0.8216954137452115</v>
      </c>
      <c r="H42" s="23" t="s">
        <v>22</v>
      </c>
      <c r="I42" s="34">
        <f>G42*25.4</f>
        <v>20.87106350912837</v>
      </c>
      <c r="J42" s="30" t="s">
        <v>41</v>
      </c>
      <c r="K42" s="29">
        <f>G42*2.54</f>
        <v>2.0871063509128374</v>
      </c>
      <c r="L42" s="30" t="s">
        <v>40</v>
      </c>
      <c r="M42" s="26">
        <f>G42*0.0254</f>
        <v>0.02087106350912837</v>
      </c>
      <c r="N42" s="30" t="s">
        <v>15</v>
      </c>
    </row>
    <row r="43" spans="9:13" s="6" customFormat="1" ht="12.75">
      <c r="I43" s="43"/>
      <c r="K43" s="15"/>
      <c r="M43" s="12"/>
    </row>
    <row r="44" spans="2:13" s="6" customFormat="1" ht="12.75">
      <c r="B44" s="28" t="s">
        <v>59</v>
      </c>
      <c r="C44" s="28" t="s">
        <v>1</v>
      </c>
      <c r="D44" s="28" t="s">
        <v>67</v>
      </c>
      <c r="E44" s="28"/>
      <c r="F44" s="28" t="s">
        <v>1</v>
      </c>
      <c r="G44" s="24">
        <f>G89</f>
        <v>117.72041077491461</v>
      </c>
      <c r="H44" s="23" t="s">
        <v>72</v>
      </c>
      <c r="I44" s="43"/>
      <c r="K44" s="15"/>
      <c r="M44" s="12"/>
    </row>
    <row r="45" spans="2:14" s="6" customFormat="1" ht="12.75">
      <c r="B45" s="28" t="s">
        <v>64</v>
      </c>
      <c r="C45" s="28" t="s">
        <v>1</v>
      </c>
      <c r="D45" s="28" t="s">
        <v>68</v>
      </c>
      <c r="E45" s="28"/>
      <c r="F45" s="28" t="s">
        <v>1</v>
      </c>
      <c r="G45" s="25">
        <f>G94/0.0254</f>
        <v>0.02696554625179445</v>
      </c>
      <c r="H45" s="23" t="s">
        <v>22</v>
      </c>
      <c r="I45" s="34">
        <f>G45*25.4</f>
        <v>0.684924874795579</v>
      </c>
      <c r="J45" s="30" t="s">
        <v>41</v>
      </c>
      <c r="K45" s="29">
        <f>G45*2.54</f>
        <v>0.0684924874795579</v>
      </c>
      <c r="L45" s="30" t="s">
        <v>40</v>
      </c>
      <c r="M45" s="26">
        <f>G45*0.0254</f>
        <v>0.000684924874795579</v>
      </c>
      <c r="N45" s="30" t="s">
        <v>15</v>
      </c>
    </row>
    <row r="46" spans="2:14" s="6" customFormat="1" ht="12.75">
      <c r="B46" s="28" t="s">
        <v>63</v>
      </c>
      <c r="C46" s="28" t="s">
        <v>1</v>
      </c>
      <c r="D46" s="28" t="s">
        <v>57</v>
      </c>
      <c r="E46" s="28"/>
      <c r="F46" s="28" t="s">
        <v>1</v>
      </c>
      <c r="G46" s="25">
        <f>G97/0.0254</f>
        <v>0.8300413621613907</v>
      </c>
      <c r="H46" s="23" t="s">
        <v>22</v>
      </c>
      <c r="I46" s="34">
        <f>G46*25.4</f>
        <v>21.083050598899323</v>
      </c>
      <c r="J46" s="30" t="s">
        <v>41</v>
      </c>
      <c r="K46" s="29">
        <f>G46*2.54</f>
        <v>2.108305059889932</v>
      </c>
      <c r="L46" s="30" t="s">
        <v>40</v>
      </c>
      <c r="M46" s="26">
        <f>G46*0.0254</f>
        <v>0.02108305059889932</v>
      </c>
      <c r="N46" s="30" t="s">
        <v>15</v>
      </c>
    </row>
    <row r="47" s="6" customFormat="1" ht="12.75"/>
    <row r="48" spans="1:16" s="6" customFormat="1" ht="12.75">
      <c r="A48" s="4" t="s">
        <v>71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="6" customFormat="1" ht="12.75"/>
    <row r="50" ht="12.75">
      <c r="A50" s="5" t="s">
        <v>74</v>
      </c>
    </row>
    <row r="52" spans="2:8" ht="12.75">
      <c r="B52" t="s">
        <v>27</v>
      </c>
      <c r="C52" t="s">
        <v>1</v>
      </c>
      <c r="D52" t="s">
        <v>29</v>
      </c>
      <c r="F52" t="s">
        <v>1</v>
      </c>
      <c r="G52">
        <v>50</v>
      </c>
      <c r="H52" t="s">
        <v>10</v>
      </c>
    </row>
    <row r="54" spans="2:11" ht="12.75">
      <c r="B54" t="s">
        <v>16</v>
      </c>
      <c r="C54" t="s">
        <v>1</v>
      </c>
      <c r="D54" t="s">
        <v>17</v>
      </c>
      <c r="F54" t="s">
        <v>1</v>
      </c>
      <c r="G54" s="14">
        <f>377*PI()/(2*G52*SQRT($G$13))</f>
        <v>6.9074469424431815</v>
      </c>
      <c r="I54" t="s">
        <v>53</v>
      </c>
      <c r="K54">
        <f>2/PI()*(G54-1-LN(2*G54-1)+(($G$13-1)/(2*$G$13)*(LN(G54-1)+0.39-0.61/$G$13)))</f>
        <v>2.548444185426622</v>
      </c>
    </row>
    <row r="55" spans="2:11" ht="12.75">
      <c r="B55" t="s">
        <v>23</v>
      </c>
      <c r="C55" t="s">
        <v>1</v>
      </c>
      <c r="D55" t="s">
        <v>19</v>
      </c>
      <c r="F55" t="s">
        <v>1</v>
      </c>
      <c r="G55" s="14">
        <f>G52/60*SQRT(($G$13+1)/2)+($G$13-1)/($G$13+1)*(0.23+0.11/$G$13)</f>
        <v>1.3013103990646993</v>
      </c>
      <c r="I55" t="s">
        <v>54</v>
      </c>
      <c r="K55">
        <f>8*EXP(G55)/(EXP(2*G55)-2)</f>
        <v>2.556107960210577</v>
      </c>
    </row>
    <row r="57" spans="2:8" ht="12.75">
      <c r="B57" t="s">
        <v>66</v>
      </c>
      <c r="C57" t="s">
        <v>1</v>
      </c>
      <c r="D57" t="s">
        <v>78</v>
      </c>
      <c r="F57" t="s">
        <v>1</v>
      </c>
      <c r="G57" s="10">
        <f>IF(AND(K54&gt;2,K55&gt;2),K54*$G$19,K55*$G$19)</f>
        <v>0.003883828938590172</v>
      </c>
      <c r="H57" t="s">
        <v>15</v>
      </c>
    </row>
    <row r="59" ht="12.75">
      <c r="A59" s="5" t="s">
        <v>75</v>
      </c>
    </row>
    <row r="61" spans="2:8" ht="12.75">
      <c r="B61" t="s">
        <v>28</v>
      </c>
      <c r="C61" t="s">
        <v>1</v>
      </c>
      <c r="D61" t="s">
        <v>29</v>
      </c>
      <c r="F61" t="s">
        <v>1</v>
      </c>
      <c r="G61">
        <v>100</v>
      </c>
      <c r="H61" t="s">
        <v>10</v>
      </c>
    </row>
    <row r="63" spans="1:11" ht="12.75">
      <c r="A63" s="7"/>
      <c r="B63" t="s">
        <v>16</v>
      </c>
      <c r="C63" t="s">
        <v>1</v>
      </c>
      <c r="D63" t="s">
        <v>17</v>
      </c>
      <c r="F63" t="s">
        <v>1</v>
      </c>
      <c r="G63" s="14">
        <f>377*PI()/(2*G61*SQRT($G$13))</f>
        <v>3.4537234712215907</v>
      </c>
      <c r="I63" t="s">
        <v>53</v>
      </c>
      <c r="K63">
        <f>2/PI()*(G63-1-LN(2*G63-1)+(($G$13-1)/(2*$G$13)*(LN(G63-1)+0.39-0.61/$G$13)))</f>
        <v>0.6581865742485975</v>
      </c>
    </row>
    <row r="64" spans="2:11" ht="12.75">
      <c r="B64" t="s">
        <v>23</v>
      </c>
      <c r="C64" t="s">
        <v>1</v>
      </c>
      <c r="D64" t="s">
        <v>19</v>
      </c>
      <c r="F64" t="s">
        <v>1</v>
      </c>
      <c r="G64" s="14">
        <f>G61/60*SQRT(($G$13+1)/2)+($G$13-1)/($G$13+1)*(0.23+0.11/$G$13)</f>
        <v>2.470949469699549</v>
      </c>
      <c r="I64" t="s">
        <v>54</v>
      </c>
      <c r="K64">
        <f>8*EXP(G64)/(EXP(2*G64)-2)</f>
        <v>0.6858317746968694</v>
      </c>
    </row>
    <row r="66" spans="2:8" ht="12.75">
      <c r="B66" t="s">
        <v>73</v>
      </c>
      <c r="C66" t="s">
        <v>1</v>
      </c>
      <c r="D66" t="s">
        <v>79</v>
      </c>
      <c r="F66" t="s">
        <v>1</v>
      </c>
      <c r="G66" s="10">
        <f>IF(AND(K63&gt;2,K64&gt;2),K63*$G$19,K64*$G$19)</f>
        <v>0.0010452076246380288</v>
      </c>
      <c r="H66" t="s">
        <v>15</v>
      </c>
    </row>
    <row r="68" spans="1:8" ht="12.75">
      <c r="A68" s="5" t="s">
        <v>76</v>
      </c>
      <c r="G68" s="3"/>
      <c r="H68" s="3"/>
    </row>
    <row r="69" spans="7:8" ht="12.75">
      <c r="G69" s="3"/>
      <c r="H69" s="3"/>
    </row>
    <row r="70" spans="2:11" ht="12.75">
      <c r="B70" t="s">
        <v>16</v>
      </c>
      <c r="C70" t="s">
        <v>1</v>
      </c>
      <c r="D70" t="s">
        <v>17</v>
      </c>
      <c r="F70" t="s">
        <v>1</v>
      </c>
      <c r="G70" s="14">
        <f>377*PI()/(2*$G$32*SQRT($G$13))</f>
        <v>2.4922064995628985</v>
      </c>
      <c r="I70" t="s">
        <v>53</v>
      </c>
      <c r="K70">
        <f>2/PI()*(G70-1-LN(2*G70-1)+(($G$13-1)/(2*$G$13)*(LN(G70-1)+0.39-0.61/$G$13)))</f>
        <v>0.19231768586035083</v>
      </c>
    </row>
    <row r="71" spans="2:11" ht="12.75">
      <c r="B71" t="s">
        <v>18</v>
      </c>
      <c r="C71" t="s">
        <v>1</v>
      </c>
      <c r="D71" t="s">
        <v>19</v>
      </c>
      <c r="F71" t="s">
        <v>1</v>
      </c>
      <c r="G71" s="14">
        <f>$G$32/60*SQRT(($G$13+1)/2)+($G$13-1)/($G$13+1)*(0.23+0.11/$G$13)</f>
        <v>3.373465226181007</v>
      </c>
      <c r="I71" t="s">
        <v>54</v>
      </c>
      <c r="K71">
        <f>8*EXP(G71)/(EXP(2*G71)-2)</f>
        <v>0.2748109250807913</v>
      </c>
    </row>
    <row r="73" spans="2:8" ht="12.75">
      <c r="B73" t="s">
        <v>69</v>
      </c>
      <c r="C73" t="s">
        <v>1</v>
      </c>
      <c r="D73" t="s">
        <v>80</v>
      </c>
      <c r="F73" t="s">
        <v>1</v>
      </c>
      <c r="G73" s="10">
        <f>IF(AND(K70&gt;2,K71&gt;2),K70*$G$19,K71*$G$19)</f>
        <v>0.00041881184982312593</v>
      </c>
      <c r="H73" t="s">
        <v>15</v>
      </c>
    </row>
    <row r="75" ht="12.75">
      <c r="A75" s="5" t="s">
        <v>77</v>
      </c>
    </row>
    <row r="77" spans="2:8" ht="12.75">
      <c r="B77" t="s">
        <v>56</v>
      </c>
      <c r="C77" t="s">
        <v>1</v>
      </c>
      <c r="D77" t="s">
        <v>81</v>
      </c>
      <c r="F77" t="s">
        <v>1</v>
      </c>
      <c r="G77" s="14">
        <f>SQRT(100*50)</f>
        <v>70.71067811865476</v>
      </c>
      <c r="H77" t="s">
        <v>10</v>
      </c>
    </row>
    <row r="79" spans="2:11" ht="12.75">
      <c r="B79" t="s">
        <v>16</v>
      </c>
      <c r="C79" t="s">
        <v>1</v>
      </c>
      <c r="D79" t="s">
        <v>17</v>
      </c>
      <c r="F79" t="s">
        <v>1</v>
      </c>
      <c r="G79" s="14">
        <f>377*PI()/(2*G77*SQRT($G$13))</f>
        <v>4.884302573687857</v>
      </c>
      <c r="I79" t="s">
        <v>53</v>
      </c>
      <c r="K79">
        <f>2/PI()*(G79-1-LN(2*G79-1)+(($G$13-1)/(2*$G$13)*(LN(G79-1)+0.39-0.61/$G$13)))</f>
        <v>1.4139592866352568</v>
      </c>
    </row>
    <row r="80" spans="2:11" ht="12.75">
      <c r="B80" t="s">
        <v>23</v>
      </c>
      <c r="C80" t="s">
        <v>1</v>
      </c>
      <c r="D80" t="s">
        <v>19</v>
      </c>
      <c r="F80" t="s">
        <v>1</v>
      </c>
      <c r="G80" s="14">
        <f>G77/60*SQRT(($G$13+1)/2)+($G$13-1)/($G$13+1)*(0.23+0.11/$G$13)</f>
        <v>1.7857907652031164</v>
      </c>
      <c r="I80" t="s">
        <v>54</v>
      </c>
      <c r="K80">
        <f>8*EXP(G80)/(EXP(2*G80)-2)</f>
        <v>1.4212202710095176</v>
      </c>
    </row>
    <row r="82" spans="2:8" ht="12.75">
      <c r="B82" t="s">
        <v>65</v>
      </c>
      <c r="C82" t="s">
        <v>1</v>
      </c>
      <c r="D82" t="s">
        <v>82</v>
      </c>
      <c r="F82" t="s">
        <v>1</v>
      </c>
      <c r="G82" s="10">
        <f>IF(AND(K79&gt;2,K80&gt;2),K79*$G$19,K80*$G$19)</f>
        <v>0.002165939693018505</v>
      </c>
      <c r="H82" t="s">
        <v>15</v>
      </c>
    </row>
    <row r="83" spans="2:7" ht="12.75">
      <c r="B83" t="s">
        <v>24</v>
      </c>
      <c r="C83" t="s">
        <v>1</v>
      </c>
      <c r="D83" t="s">
        <v>25</v>
      </c>
      <c r="F83" t="s">
        <v>1</v>
      </c>
      <c r="G83" s="11">
        <f>($G$13+1)/2+($G$13-1)/2/SQRT(1+12/($G$19/G82))</f>
        <v>2.1982849487161586</v>
      </c>
    </row>
    <row r="84" spans="2:8" ht="12.75">
      <c r="B84" t="s">
        <v>83</v>
      </c>
      <c r="C84" t="s">
        <v>1</v>
      </c>
      <c r="D84" t="s">
        <v>84</v>
      </c>
      <c r="F84" t="s">
        <v>1</v>
      </c>
      <c r="G84" s="10">
        <f>$M$24/SQRT(G83)</f>
        <v>0.08348425403651348</v>
      </c>
      <c r="H84" t="s">
        <v>15</v>
      </c>
    </row>
    <row r="85" spans="2:8" ht="12.75">
      <c r="B85" t="s">
        <v>62</v>
      </c>
      <c r="C85" t="s">
        <v>1</v>
      </c>
      <c r="D85" t="s">
        <v>85</v>
      </c>
      <c r="F85" t="s">
        <v>1</v>
      </c>
      <c r="G85" s="10">
        <f>G84/4</f>
        <v>0.02087106350912837</v>
      </c>
      <c r="H85" t="s">
        <v>15</v>
      </c>
    </row>
    <row r="86" ht="12.75">
      <c r="G86" s="10"/>
    </row>
    <row r="87" ht="12.75">
      <c r="A87" s="5" t="s">
        <v>86</v>
      </c>
    </row>
    <row r="89" spans="2:8" ht="12.75">
      <c r="B89" t="s">
        <v>59</v>
      </c>
      <c r="C89" t="s">
        <v>1</v>
      </c>
      <c r="D89" t="s">
        <v>81</v>
      </c>
      <c r="F89" t="s">
        <v>1</v>
      </c>
      <c r="G89" s="14">
        <f>SQRT(100*$G$32)</f>
        <v>117.72041077491461</v>
      </c>
      <c r="H89" t="s">
        <v>10</v>
      </c>
    </row>
    <row r="91" spans="2:11" ht="12.75">
      <c r="B91" t="s">
        <v>16</v>
      </c>
      <c r="C91" t="s">
        <v>1</v>
      </c>
      <c r="D91" t="s">
        <v>17</v>
      </c>
      <c r="F91" t="s">
        <v>1</v>
      </c>
      <c r="G91" s="14">
        <f>377*PI()/(2*G89*SQRT($G$13))</f>
        <v>2.933835728644565</v>
      </c>
      <c r="I91" t="s">
        <v>53</v>
      </c>
      <c r="K91">
        <f>2/PI()*(G91-1-LN(2*G91-1)+(($G$13-1)/(2*$G$13)*(LN(G91-1)+0.39-0.61/$G$13)))</f>
        <v>0.40045304870658327</v>
      </c>
    </row>
    <row r="92" spans="2:11" ht="12.75">
      <c r="B92" t="s">
        <v>23</v>
      </c>
      <c r="C92" t="s">
        <v>1</v>
      </c>
      <c r="D92" t="s">
        <v>19</v>
      </c>
      <c r="F92" t="s">
        <v>1</v>
      </c>
      <c r="G92" s="14">
        <f>G89/60*SQRT(($G$13+1)/2)+($G$13-1)/($G$13+1)*(0.23+0.11/$G$13)</f>
        <v>2.885479165500327</v>
      </c>
      <c r="I92" t="s">
        <v>54</v>
      </c>
      <c r="K92">
        <f>8*EXP(G92)/(EXP(2*G92)-2)</f>
        <v>0.44942577086324087</v>
      </c>
    </row>
    <row r="94" spans="2:8" ht="12.75">
      <c r="B94" t="s">
        <v>64</v>
      </c>
      <c r="C94" t="s">
        <v>1</v>
      </c>
      <c r="D94" t="s">
        <v>82</v>
      </c>
      <c r="F94" t="s">
        <v>1</v>
      </c>
      <c r="G94" s="10">
        <f>IF(AND(K91&gt;2,K92&gt;2),K91*$G$19,K92*$G$19)</f>
        <v>0.000684924874795579</v>
      </c>
      <c r="H94" t="s">
        <v>15</v>
      </c>
    </row>
    <row r="95" spans="2:7" ht="12.75">
      <c r="B95" t="s">
        <v>24</v>
      </c>
      <c r="C95" t="s">
        <v>1</v>
      </c>
      <c r="D95" t="s">
        <v>25</v>
      </c>
      <c r="F95" t="s">
        <v>1</v>
      </c>
      <c r="G95" s="11">
        <f>($G$13+1)/2+($G$13-1)/2/SQRT(1+12/(G94/$G$19))</f>
        <v>2.1543003076696143</v>
      </c>
    </row>
    <row r="96" spans="2:8" ht="12.75">
      <c r="B96" t="s">
        <v>26</v>
      </c>
      <c r="C96" t="s">
        <v>1</v>
      </c>
      <c r="D96" t="s">
        <v>84</v>
      </c>
      <c r="F96" t="s">
        <v>1</v>
      </c>
      <c r="G96" s="10">
        <f>M24/SQRT(G95)</f>
        <v>0.08433220239559729</v>
      </c>
      <c r="H96" t="s">
        <v>15</v>
      </c>
    </row>
    <row r="97" spans="2:8" ht="12.75">
      <c r="B97" t="s">
        <v>63</v>
      </c>
      <c r="C97" t="s">
        <v>1</v>
      </c>
      <c r="D97" t="s">
        <v>85</v>
      </c>
      <c r="F97" t="s">
        <v>1</v>
      </c>
      <c r="G97" s="10">
        <f>G96/4</f>
        <v>0.02108305059889932</v>
      </c>
      <c r="H97" t="s">
        <v>15</v>
      </c>
    </row>
    <row r="99" spans="1:16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</row>
  </sheetData>
  <mergeCells count="1">
    <mergeCell ref="H31:I3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12" sqref="A12"/>
    </sheetView>
  </sheetViews>
  <sheetFormatPr defaultColWidth="9.140625" defaultRowHeight="12.75"/>
  <cols>
    <col min="1" max="1" width="11.140625" style="0" customWidth="1"/>
  </cols>
  <sheetData>
    <row r="1" ht="12.75">
      <c r="A1" t="s">
        <v>89</v>
      </c>
    </row>
    <row r="3" spans="1:5" ht="12.75">
      <c r="A3" t="s">
        <v>96</v>
      </c>
      <c r="B3" t="s">
        <v>97</v>
      </c>
      <c r="D3" t="s">
        <v>98</v>
      </c>
      <c r="E3" t="s">
        <v>99</v>
      </c>
    </row>
    <row r="4" spans="1:4" ht="12.75">
      <c r="A4" s="46" t="s">
        <v>90</v>
      </c>
      <c r="B4" s="46">
        <v>0.7</v>
      </c>
      <c r="C4" s="44"/>
      <c r="D4" s="44"/>
    </row>
    <row r="5" spans="1:4" ht="12.75">
      <c r="A5" s="46" t="s">
        <v>91</v>
      </c>
      <c r="B5" s="46">
        <v>1.4</v>
      </c>
      <c r="C5" s="44"/>
      <c r="D5" s="44"/>
    </row>
    <row r="6" spans="1:4" ht="12.75">
      <c r="A6" s="46" t="s">
        <v>92</v>
      </c>
      <c r="B6" s="46">
        <v>2.8</v>
      </c>
      <c r="C6" s="44"/>
      <c r="D6" s="44"/>
    </row>
    <row r="7" spans="1:4" ht="12.75">
      <c r="A7" s="46" t="s">
        <v>93</v>
      </c>
      <c r="B7" s="46">
        <v>4.2</v>
      </c>
      <c r="C7" s="44"/>
      <c r="D7" s="44"/>
    </row>
    <row r="8" spans="1:4" ht="12.75">
      <c r="A8" s="46" t="s">
        <v>94</v>
      </c>
      <c r="B8" s="46">
        <v>5.6</v>
      </c>
      <c r="C8" s="44"/>
      <c r="D8" s="44"/>
    </row>
    <row r="9" spans="1:4" ht="12.75">
      <c r="A9" s="46" t="s">
        <v>95</v>
      </c>
      <c r="B9" s="46">
        <v>7</v>
      </c>
      <c r="C9" s="44"/>
      <c r="D9" s="44"/>
    </row>
    <row r="10" spans="1:4" ht="12.75">
      <c r="A10" s="45"/>
      <c r="B10" s="45"/>
      <c r="C10" s="44"/>
      <c r="D10" s="44"/>
    </row>
    <row r="11" spans="1:4" ht="25.5">
      <c r="A11" s="46" t="s">
        <v>101</v>
      </c>
      <c r="B11" s="44" t="s">
        <v>102</v>
      </c>
      <c r="C11" s="44"/>
      <c r="D11" s="44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Greenberg</dc:creator>
  <cp:keywords/>
  <dc:description/>
  <cp:lastModifiedBy>Andrew Greenberg</cp:lastModifiedBy>
  <dcterms:created xsi:type="dcterms:W3CDTF">2003-07-28T17:26:30Z</dcterms:created>
  <dcterms:modified xsi:type="dcterms:W3CDTF">2003-07-29T07:58:40Z</dcterms:modified>
  <cp:category/>
  <cp:version/>
  <cp:contentType/>
  <cp:contentStatus/>
</cp:coreProperties>
</file>